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codeName="ThisWorkbook" defaultThemeVersion="166925"/>
  <mc:AlternateContent xmlns:mc="http://schemas.openxmlformats.org/markup-compatibility/2006">
    <mc:Choice Requires="x15">
      <x15ac:absPath xmlns:x15ac="http://schemas.microsoft.com/office/spreadsheetml/2010/11/ac" url="C:\Users\Admin\Documents\02 งาน Oper Sale\05 Sale commission\03 ตั้งเบิก Sales Commission\รอบ 11-2567\RS\"/>
    </mc:Choice>
  </mc:AlternateContent>
  <xr:revisionPtr revIDLastSave="0" documentId="13_ncr:1_{10DC894C-EAEA-46B1-858A-4FD6716E108A}" xr6:coauthVersionLast="43" xr6:coauthVersionMax="43" xr10:uidLastSave="{00000000-0000-0000-0000-000000000000}"/>
  <bookViews>
    <workbookView xWindow="-108" yWindow="-108" windowWidth="23256" windowHeight="12456" activeTab="1" xr2:uid="{195A0F0A-E35C-4AD4-8EE8-0CFEA0DC919D}"/>
  </bookViews>
  <sheets>
    <sheet name="Ref" sheetId="6" r:id="rId1"/>
    <sheet name="คอมฯ  CN" sheetId="1" r:id="rId2"/>
    <sheet name="สรุปยอดเบิก CN" sheetId="5" r:id="rId3"/>
    <sheet name="คอมฯ CBN" sheetId="2" r:id="rId4"/>
    <sheet name="สรุปยอดเบิก CBN" sheetId="3" r:id="rId5"/>
  </sheets>
  <definedNames>
    <definedName name="_xlnm._FilterDatabase" localSheetId="1" hidden="1">'คอมฯ  CN'!#REF!</definedName>
    <definedName name="_xlnm._FilterDatabase" localSheetId="3" hidden="1">'คอมฯ CBN'!#REF!</definedName>
    <definedName name="_xlnm.Print_Area" localSheetId="1">'คอมฯ  CN'!$A$1:$U$87</definedName>
    <definedName name="_xlnm.Print_Area" localSheetId="3">'คอมฯ CBN'!$A$1:$U$30</definedName>
    <definedName name="_xlnm.Print_Area" localSheetId="4">'สรุปยอดเบิก CBN'!$A$1:$M$58</definedName>
    <definedName name="_xlnm.Print_Area" localSheetId="2">'สรุปยอดเบิก CN'!$A$1:$K$97</definedName>
    <definedName name="_xlnm.Print_Titles" localSheetId="1">'คอมฯ  CN'!$5:$5</definedName>
    <definedName name="_xlnm.Print_Titles" localSheetId="3">'คอมฯ CBN'!$5:$5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72" i="3" l="1"/>
  <c r="E45" i="3" s="1"/>
  <c r="F30" i="3"/>
  <c r="G30" i="3" s="1"/>
  <c r="E30" i="3"/>
  <c r="F22" i="3"/>
  <c r="F20" i="3"/>
  <c r="F21" i="3"/>
  <c r="G21" i="3" s="1"/>
  <c r="E21" i="3"/>
  <c r="F12" i="3"/>
  <c r="E12" i="3"/>
  <c r="G90" i="5"/>
  <c r="E45" i="5" s="1"/>
  <c r="G6" i="5"/>
  <c r="H21" i="5"/>
  <c r="F21" i="5"/>
  <c r="E21" i="5"/>
  <c r="F12" i="5"/>
  <c r="G12" i="5" s="1"/>
  <c r="E12" i="5"/>
  <c r="M12" i="1"/>
  <c r="H30" i="3" l="1"/>
  <c r="H21" i="3"/>
  <c r="G12" i="3"/>
  <c r="H12" i="3" s="1"/>
  <c r="H12" i="5"/>
  <c r="Q18" i="1"/>
  <c r="M18" i="1"/>
  <c r="L18" i="1"/>
  <c r="N18" i="1" s="1"/>
  <c r="I18" i="1"/>
  <c r="Q15" i="1"/>
  <c r="M15" i="1"/>
  <c r="L15" i="1"/>
  <c r="N15" i="1" s="1"/>
  <c r="I15" i="1"/>
  <c r="Q12" i="2"/>
  <c r="M12" i="2"/>
  <c r="N12" i="2" s="1"/>
  <c r="I12" i="2"/>
  <c r="Q9" i="2"/>
  <c r="M9" i="2"/>
  <c r="L9" i="2"/>
  <c r="N9" i="2" s="1"/>
  <c r="I9" i="2"/>
  <c r="R9" i="2" s="1"/>
  <c r="R18" i="1" l="1"/>
  <c r="R15" i="1"/>
  <c r="R12" i="2"/>
  <c r="Q21" i="1"/>
  <c r="M21" i="1"/>
  <c r="L21" i="1"/>
  <c r="N21" i="1" s="1"/>
  <c r="I21" i="1"/>
  <c r="Q12" i="1"/>
  <c r="L12" i="1"/>
  <c r="I12" i="1"/>
  <c r="Q9" i="1"/>
  <c r="M9" i="1"/>
  <c r="L9" i="1"/>
  <c r="N9" i="1" s="1"/>
  <c r="I9" i="1"/>
  <c r="N12" i="1" l="1"/>
  <c r="R21" i="1"/>
  <c r="R12" i="1"/>
  <c r="R9" i="1"/>
  <c r="I18" i="2"/>
  <c r="L18" i="2"/>
  <c r="N18" i="2" s="1"/>
  <c r="M18" i="2"/>
  <c r="Q18" i="2"/>
  <c r="I21" i="2"/>
  <c r="L21" i="2"/>
  <c r="M21" i="2"/>
  <c r="Q21" i="2"/>
  <c r="I24" i="2"/>
  <c r="L24" i="2"/>
  <c r="N24" i="2" s="1"/>
  <c r="M24" i="2"/>
  <c r="Q24" i="2"/>
  <c r="I27" i="2"/>
  <c r="L27" i="2"/>
  <c r="N27" i="2" s="1"/>
  <c r="M27" i="2"/>
  <c r="Q27" i="2"/>
  <c r="F31" i="5"/>
  <c r="H31" i="5" s="1"/>
  <c r="E31" i="5"/>
  <c r="F29" i="5"/>
  <c r="H29" i="5" s="1"/>
  <c r="E29" i="5"/>
  <c r="F27" i="5"/>
  <c r="H27" i="5" s="1"/>
  <c r="E27" i="5"/>
  <c r="F26" i="5"/>
  <c r="H26" i="5" s="1"/>
  <c r="E26" i="5"/>
  <c r="F25" i="5"/>
  <c r="H25" i="5" s="1"/>
  <c r="E25" i="5"/>
  <c r="F22" i="5"/>
  <c r="F20" i="5"/>
  <c r="F18" i="5"/>
  <c r="F17" i="5"/>
  <c r="F16" i="5"/>
  <c r="F31" i="3"/>
  <c r="E31" i="3"/>
  <c r="F29" i="3"/>
  <c r="E29" i="3"/>
  <c r="F26" i="3"/>
  <c r="E26" i="3"/>
  <c r="F25" i="3"/>
  <c r="E25" i="3"/>
  <c r="F17" i="3"/>
  <c r="F16" i="3"/>
  <c r="E14" i="3"/>
  <c r="R27" i="2" l="1"/>
  <c r="R24" i="2"/>
  <c r="N21" i="2"/>
  <c r="R21" i="2" s="1"/>
  <c r="R18" i="2"/>
  <c r="G25" i="3"/>
  <c r="H25" i="3" s="1"/>
  <c r="G26" i="3"/>
  <c r="H26" i="3" s="1"/>
  <c r="G29" i="3"/>
  <c r="H29" i="3" s="1"/>
  <c r="G31" i="3"/>
  <c r="H31" i="3" s="1"/>
  <c r="Q15" i="2" l="1"/>
  <c r="Q6" i="2"/>
  <c r="Q6" i="1"/>
  <c r="E23" i="3" l="1"/>
  <c r="F23" i="3"/>
  <c r="G23" i="3" s="1"/>
  <c r="H23" i="3" s="1"/>
  <c r="E27" i="3"/>
  <c r="F27" i="3"/>
  <c r="G27" i="3" s="1"/>
  <c r="H27" i="3" s="1"/>
  <c r="F24" i="3"/>
  <c r="G24" i="3" s="1"/>
  <c r="H24" i="3" s="1"/>
  <c r="E24" i="3"/>
  <c r="F28" i="5"/>
  <c r="H28" i="5" s="1"/>
  <c r="E28" i="5"/>
  <c r="F28" i="3"/>
  <c r="G28" i="3" s="1"/>
  <c r="H28" i="3" s="1"/>
  <c r="E28" i="3"/>
  <c r="H30" i="2"/>
  <c r="I15" i="2"/>
  <c r="I6" i="2"/>
  <c r="Q72" i="1" l="1"/>
  <c r="M72" i="1"/>
  <c r="L72" i="1"/>
  <c r="I72" i="1"/>
  <c r="Q69" i="1"/>
  <c r="M69" i="1"/>
  <c r="L69" i="1"/>
  <c r="I69" i="1"/>
  <c r="Q66" i="1"/>
  <c r="M66" i="1"/>
  <c r="L66" i="1"/>
  <c r="I66" i="1"/>
  <c r="Q63" i="1"/>
  <c r="M63" i="1"/>
  <c r="L63" i="1"/>
  <c r="N63" i="1" s="1"/>
  <c r="I63" i="1"/>
  <c r="Q60" i="1"/>
  <c r="M60" i="1"/>
  <c r="L60" i="1"/>
  <c r="I60" i="1"/>
  <c r="Q78" i="1"/>
  <c r="M78" i="1"/>
  <c r="L78" i="1"/>
  <c r="N78" i="1" s="1"/>
  <c r="I78" i="1"/>
  <c r="Q75" i="1"/>
  <c r="M75" i="1"/>
  <c r="L75" i="1"/>
  <c r="I75" i="1"/>
  <c r="I84" i="1"/>
  <c r="I81" i="1"/>
  <c r="I57" i="1"/>
  <c r="N75" i="1" l="1"/>
  <c r="N60" i="1"/>
  <c r="N72" i="1"/>
  <c r="R72" i="1" s="1"/>
  <c r="N66" i="1"/>
  <c r="N69" i="1"/>
  <c r="R69" i="1" s="1"/>
  <c r="R75" i="1"/>
  <c r="R66" i="1"/>
  <c r="R63" i="1"/>
  <c r="R78" i="1"/>
  <c r="R60" i="1"/>
  <c r="I48" i="1" l="1"/>
  <c r="I54" i="1"/>
  <c r="I51" i="1"/>
  <c r="I45" i="1"/>
  <c r="I42" i="1"/>
  <c r="I39" i="1"/>
  <c r="I36" i="1"/>
  <c r="I33" i="1"/>
  <c r="I30" i="1"/>
  <c r="I27" i="1"/>
  <c r="I24" i="1"/>
  <c r="I6" i="1"/>
  <c r="H87" i="1"/>
  <c r="F13" i="5"/>
  <c r="Q81" i="1" l="1"/>
  <c r="M81" i="1"/>
  <c r="L81" i="1"/>
  <c r="Q57" i="1"/>
  <c r="M57" i="1"/>
  <c r="L57" i="1"/>
  <c r="Q54" i="1"/>
  <c r="M54" i="1"/>
  <c r="L54" i="1"/>
  <c r="Q51" i="1"/>
  <c r="M51" i="1"/>
  <c r="L51" i="1"/>
  <c r="E22" i="3"/>
  <c r="F13" i="3"/>
  <c r="E13" i="3"/>
  <c r="E20" i="3"/>
  <c r="F11" i="3"/>
  <c r="E11" i="3"/>
  <c r="E19" i="3"/>
  <c r="F10" i="3"/>
  <c r="E10" i="3"/>
  <c r="E18" i="3"/>
  <c r="F9" i="3"/>
  <c r="E9" i="3"/>
  <c r="E17" i="3"/>
  <c r="F8" i="3"/>
  <c r="E8" i="3"/>
  <c r="E16" i="3"/>
  <c r="F7" i="3"/>
  <c r="E7" i="3"/>
  <c r="E15" i="3"/>
  <c r="F6" i="3"/>
  <c r="E6" i="3"/>
  <c r="F5" i="3"/>
  <c r="E5" i="3"/>
  <c r="E20" i="5"/>
  <c r="F11" i="5"/>
  <c r="G11" i="5" s="1"/>
  <c r="H11" i="5" s="1"/>
  <c r="E11" i="5"/>
  <c r="N51" i="1" l="1"/>
  <c r="R51" i="1" s="1"/>
  <c r="N57" i="1"/>
  <c r="R57" i="1" s="1"/>
  <c r="N81" i="1"/>
  <c r="R81" i="1" s="1"/>
  <c r="N54" i="1"/>
  <c r="R54" i="1" s="1"/>
  <c r="G11" i="3"/>
  <c r="H11" i="3" s="1"/>
  <c r="E22" i="5"/>
  <c r="E19" i="5"/>
  <c r="E18" i="5"/>
  <c r="E17" i="5"/>
  <c r="E16" i="5"/>
  <c r="E15" i="5"/>
  <c r="E14" i="5"/>
  <c r="G13" i="5"/>
  <c r="H13" i="5" s="1"/>
  <c r="E13" i="5"/>
  <c r="F10" i="5"/>
  <c r="G10" i="5" s="1"/>
  <c r="H10" i="5" s="1"/>
  <c r="E10" i="5"/>
  <c r="F9" i="5"/>
  <c r="E9" i="5"/>
  <c r="F8" i="5"/>
  <c r="E8" i="5"/>
  <c r="F7" i="5"/>
  <c r="E7" i="5"/>
  <c r="F6" i="5"/>
  <c r="E6" i="5"/>
  <c r="F5" i="5"/>
  <c r="E5" i="5"/>
  <c r="L30" i="1" l="1"/>
  <c r="M30" i="1"/>
  <c r="Q30" i="1"/>
  <c r="N30" i="1" l="1"/>
  <c r="R30" i="1" s="1"/>
  <c r="E24" i="5" l="1"/>
  <c r="F24" i="5"/>
  <c r="G10" i="3" l="1"/>
  <c r="H10" i="3" s="1"/>
  <c r="M48" i="1" l="1"/>
  <c r="M45" i="1"/>
  <c r="M42" i="1"/>
  <c r="F87" i="1"/>
  <c r="Q48" i="1"/>
  <c r="L48" i="1"/>
  <c r="Q45" i="1"/>
  <c r="L45" i="1"/>
  <c r="Q42" i="1"/>
  <c r="L42" i="1"/>
  <c r="N48" i="1" l="1"/>
  <c r="R48" i="1" s="1"/>
  <c r="N45" i="1"/>
  <c r="R45" i="1" s="1"/>
  <c r="N42" i="1"/>
  <c r="R42" i="1" s="1"/>
  <c r="Q84" i="1" l="1"/>
  <c r="M84" i="1"/>
  <c r="L84" i="1"/>
  <c r="Q39" i="1"/>
  <c r="M39" i="1"/>
  <c r="L39" i="1"/>
  <c r="N39" i="1" l="1"/>
  <c r="R39" i="1" s="1"/>
  <c r="N84" i="1"/>
  <c r="R84" i="1" s="1"/>
  <c r="Q36" i="1" l="1"/>
  <c r="M36" i="1"/>
  <c r="L36" i="1"/>
  <c r="Q33" i="1"/>
  <c r="M33" i="1"/>
  <c r="L33" i="1"/>
  <c r="Q27" i="1"/>
  <c r="M27" i="1"/>
  <c r="L27" i="1"/>
  <c r="Q24" i="1"/>
  <c r="M24" i="1"/>
  <c r="L24" i="1"/>
  <c r="N27" i="1" l="1"/>
  <c r="N33" i="1"/>
  <c r="R33" i="1" s="1"/>
  <c r="N36" i="1"/>
  <c r="R36" i="1" s="1"/>
  <c r="N24" i="1"/>
  <c r="R27" i="1" l="1"/>
  <c r="R24" i="1"/>
  <c r="J30" i="2"/>
  <c r="K30" i="2"/>
  <c r="I30" i="2"/>
  <c r="G9" i="5" l="1"/>
  <c r="H9" i="5" s="1"/>
  <c r="G9" i="3"/>
  <c r="H9" i="3" s="1"/>
  <c r="G8" i="5"/>
  <c r="H8" i="5" s="1"/>
  <c r="S87" i="1" l="1"/>
  <c r="U87" i="1"/>
  <c r="T87" i="1"/>
  <c r="S30" i="2"/>
  <c r="T30" i="2"/>
  <c r="H6" i="5" l="1"/>
  <c r="G7" i="5" l="1"/>
  <c r="H7" i="5" s="1"/>
  <c r="G8" i="3"/>
  <c r="H8" i="3" s="1"/>
  <c r="G13" i="3"/>
  <c r="H13" i="3" s="1"/>
  <c r="H50" i="3" l="1"/>
  <c r="J87" i="1" l="1"/>
  <c r="K87" i="1"/>
  <c r="O87" i="1"/>
  <c r="P87" i="1"/>
  <c r="M15" i="2"/>
  <c r="L15" i="2"/>
  <c r="M6" i="2"/>
  <c r="L6" i="2"/>
  <c r="M6" i="1"/>
  <c r="L6" i="1"/>
  <c r="I87" i="1"/>
  <c r="N15" i="2" l="1"/>
  <c r="N6" i="2"/>
  <c r="R6" i="2"/>
  <c r="F19" i="3"/>
  <c r="F18" i="3"/>
  <c r="R15" i="2"/>
  <c r="F15" i="3"/>
  <c r="F23" i="5"/>
  <c r="H23" i="5" s="1"/>
  <c r="E23" i="5"/>
  <c r="N6" i="1"/>
  <c r="L30" i="2"/>
  <c r="M30" i="2"/>
  <c r="H24" i="5"/>
  <c r="Q87" i="1"/>
  <c r="M87" i="1"/>
  <c r="L87" i="1"/>
  <c r="F14" i="3" l="1"/>
  <c r="G20" i="3"/>
  <c r="H20" i="3" s="1"/>
  <c r="G71" i="3" s="1"/>
  <c r="E44" i="3" s="1"/>
  <c r="G44" i="3" s="1"/>
  <c r="I44" i="3" s="1"/>
  <c r="J44" i="3" s="1"/>
  <c r="K44" i="3" s="1"/>
  <c r="F19" i="5"/>
  <c r="F15" i="5"/>
  <c r="R6" i="1"/>
  <c r="F14" i="5"/>
  <c r="F30" i="2"/>
  <c r="H20" i="5" l="1"/>
  <c r="H17" i="5"/>
  <c r="H16" i="5"/>
  <c r="G85" i="5" s="1"/>
  <c r="G86" i="5" l="1"/>
  <c r="G7" i="3"/>
  <c r="H7" i="3" s="1"/>
  <c r="H18" i="5"/>
  <c r="G6" i="3"/>
  <c r="H6" i="3" s="1"/>
  <c r="G5" i="3"/>
  <c r="E32" i="3" l="1"/>
  <c r="H15" i="5"/>
  <c r="G84" i="5" s="1"/>
  <c r="E39" i="5" s="1"/>
  <c r="G18" i="3"/>
  <c r="H18" i="3" s="1"/>
  <c r="G69" i="3" l="1"/>
  <c r="E42" i="3" s="1"/>
  <c r="G42" i="3" s="1"/>
  <c r="I42" i="3" s="1"/>
  <c r="J42" i="3" s="1"/>
  <c r="K42" i="3" s="1"/>
  <c r="G19" i="3"/>
  <c r="H19" i="3" s="1"/>
  <c r="N87" i="1"/>
  <c r="G70" i="3" l="1"/>
  <c r="E43" i="3" s="1"/>
  <c r="G43" i="3" s="1"/>
  <c r="I43" i="3" s="1"/>
  <c r="J43" i="3" s="1"/>
  <c r="K43" i="3" s="1"/>
  <c r="R87" i="1"/>
  <c r="H22" i="5" l="1"/>
  <c r="E32" i="5"/>
  <c r="H19" i="5"/>
  <c r="G88" i="5" l="1"/>
  <c r="G87" i="5"/>
  <c r="E42" i="5" s="1"/>
  <c r="G89" i="5"/>
  <c r="E44" i="5" s="1"/>
  <c r="E41" i="5"/>
  <c r="G41" i="5" s="1"/>
  <c r="I41" i="5" s="1"/>
  <c r="E40" i="5"/>
  <c r="G40" i="5" s="1"/>
  <c r="I40" i="5" s="1"/>
  <c r="G5" i="5"/>
  <c r="H5" i="5" s="1"/>
  <c r="G44" i="5" l="1"/>
  <c r="I44" i="5" s="1"/>
  <c r="G39" i="5"/>
  <c r="I39" i="5" s="1"/>
  <c r="G22" i="3" l="1"/>
  <c r="H22" i="3" s="1"/>
  <c r="R30" i="2"/>
  <c r="G17" i="3"/>
  <c r="H17" i="3" s="1"/>
  <c r="Q30" i="2"/>
  <c r="G42" i="5"/>
  <c r="I42" i="5" s="1"/>
  <c r="G15" i="3"/>
  <c r="H15" i="3" s="1"/>
  <c r="G14" i="3"/>
  <c r="G66" i="3" l="1"/>
  <c r="E39" i="3" s="1"/>
  <c r="G39" i="3" s="1"/>
  <c r="I39" i="3" s="1"/>
  <c r="J39" i="3" s="1"/>
  <c r="K39" i="3" s="1"/>
  <c r="G68" i="3"/>
  <c r="G73" i="3"/>
  <c r="G16" i="3"/>
  <c r="H16" i="3" s="1"/>
  <c r="H14" i="3"/>
  <c r="F32" i="3"/>
  <c r="E46" i="3" l="1"/>
  <c r="G46" i="3" s="1"/>
  <c r="I46" i="3" s="1"/>
  <c r="J46" i="3" s="1"/>
  <c r="K46" i="3" s="1"/>
  <c r="G45" i="3"/>
  <c r="I45" i="3" s="1"/>
  <c r="G67" i="3"/>
  <c r="E40" i="3" s="1"/>
  <c r="G40" i="3" s="1"/>
  <c r="I40" i="3" s="1"/>
  <c r="J40" i="3" s="1"/>
  <c r="K40" i="3" s="1"/>
  <c r="E41" i="3"/>
  <c r="H5" i="3"/>
  <c r="G65" i="3" s="1"/>
  <c r="G32" i="3"/>
  <c r="J45" i="3" l="1"/>
  <c r="K45" i="3" s="1"/>
  <c r="E38" i="3"/>
  <c r="G38" i="3" s="1"/>
  <c r="H32" i="3"/>
  <c r="G74" i="3" l="1"/>
  <c r="E47" i="3" s="1"/>
  <c r="G75" i="3"/>
  <c r="E48" i="3" s="1"/>
  <c r="G48" i="3" s="1"/>
  <c r="I48" i="3" s="1"/>
  <c r="J48" i="3" s="1"/>
  <c r="K48" i="3" s="1"/>
  <c r="G76" i="3"/>
  <c r="E49" i="3" s="1"/>
  <c r="G49" i="3" s="1"/>
  <c r="I49" i="3" s="1"/>
  <c r="J49" i="3" s="1"/>
  <c r="K49" i="3" s="1"/>
  <c r="G32" i="5"/>
  <c r="I38" i="3"/>
  <c r="G41" i="3"/>
  <c r="I41" i="3" s="1"/>
  <c r="J41" i="3" s="1"/>
  <c r="K41" i="3" s="1"/>
  <c r="G77" i="3" l="1"/>
  <c r="J38" i="3"/>
  <c r="F32" i="5"/>
  <c r="G47" i="3"/>
  <c r="H14" i="5"/>
  <c r="G83" i="5" l="1"/>
  <c r="E38" i="5" s="1"/>
  <c r="G91" i="5"/>
  <c r="H32" i="5"/>
  <c r="K38" i="3"/>
  <c r="I47" i="3"/>
  <c r="G50" i="3"/>
  <c r="E46" i="5" l="1"/>
  <c r="G46" i="5" s="1"/>
  <c r="I46" i="5" s="1"/>
  <c r="G45" i="5"/>
  <c r="I45" i="5" s="1"/>
  <c r="G93" i="5"/>
  <c r="E48" i="5" s="1"/>
  <c r="E43" i="5"/>
  <c r="G43" i="5" s="1"/>
  <c r="I43" i="5" s="1"/>
  <c r="J47" i="3"/>
  <c r="J50" i="3" s="1"/>
  <c r="I50" i="3"/>
  <c r="G38" i="5"/>
  <c r="I38" i="5" s="1"/>
  <c r="G94" i="5"/>
  <c r="E49" i="5" s="1"/>
  <c r="G49" i="5" s="1"/>
  <c r="I49" i="5" s="1"/>
  <c r="G92" i="5"/>
  <c r="E47" i="5" s="1"/>
  <c r="G47" i="5" s="1"/>
  <c r="I47" i="5" s="1"/>
  <c r="K47" i="3" l="1"/>
  <c r="G48" i="5"/>
  <c r="I48" i="5" s="1"/>
  <c r="G95" i="5"/>
  <c r="K50" i="3" l="1"/>
  <c r="E50" i="5"/>
  <c r="I50" i="5" l="1"/>
  <c r="G50" i="5"/>
</calcChain>
</file>

<file path=xl/sharedStrings.xml><?xml version="1.0" encoding="utf-8"?>
<sst xmlns="http://schemas.openxmlformats.org/spreadsheetml/2006/main" count="486" uniqueCount="173">
  <si>
    <t>ลำดับ</t>
  </si>
  <si>
    <t>ชื่อเจ้าของโครงการ</t>
  </si>
  <si>
    <t>รายการเบิก</t>
  </si>
  <si>
    <t>จำนวนเงิน</t>
  </si>
  <si>
    <t>ยอดคงเหลือ</t>
  </si>
  <si>
    <t>Total</t>
  </si>
  <si>
    <t>Sales</t>
  </si>
  <si>
    <t>เขตการขาย</t>
  </si>
  <si>
    <t xml:space="preserve">ตั้งเบิก บริษัท เคเบิล คอนเน็ค จำกัด </t>
  </si>
  <si>
    <t>รายละเอียดค่าคอม</t>
  </si>
  <si>
    <t>หัก CBN
30%</t>
  </si>
  <si>
    <t>ค่าคอมฯ ช่างติดตั้ง</t>
  </si>
  <si>
    <t>รวมทั้งสิ้น</t>
  </si>
  <si>
    <t>ส่วนงานขาย</t>
  </si>
  <si>
    <t>ชื่อผู้รับเงิน</t>
  </si>
  <si>
    <t>หัก ณ ที่จ่าย</t>
  </si>
  <si>
    <t xml:space="preserve">ค่าคอมฯ สุทธิ </t>
  </si>
  <si>
    <t>HP</t>
  </si>
  <si>
    <t>Freelance</t>
  </si>
  <si>
    <t>ค่าคอมฯขาย
Internet</t>
  </si>
  <si>
    <t>ค่าคอมขายอุปกรณ์</t>
  </si>
  <si>
    <t>คุณจันทราภรณ์ สุภาพวนิช</t>
  </si>
  <si>
    <t>อัตราส่วนแบ่ง</t>
  </si>
  <si>
    <t>SALES</t>
  </si>
  <si>
    <t>CENTER SALES</t>
  </si>
  <si>
    <t>Sales Coordinator</t>
  </si>
  <si>
    <t>จำนวน
โครงการ</t>
  </si>
  <si>
    <t>ค่าคอมฯ ขายงานติดตั้งระบบ
งานติดตั้งระบบให้บริการหลัก</t>
  </si>
  <si>
    <t>งานขายอุปกรณ์เพิ่มเติม</t>
  </si>
  <si>
    <t>หัก กสทช</t>
  </si>
  <si>
    <t>ยอดโอนสุทธิ</t>
  </si>
  <si>
    <t>ค่าบริการรายเดือนตาม Package</t>
  </si>
  <si>
    <t>หัก ภาษีรายได้</t>
  </si>
  <si>
    <t>ยอดเงินโอน</t>
  </si>
  <si>
    <t>เงินเข้าสุทธิ</t>
  </si>
  <si>
    <t>ชื่อผู้รับเงิน (บัญชีเงินเดือน)</t>
  </si>
  <si>
    <t>คุณรัฏฎิการ์</t>
  </si>
  <si>
    <t>เดือนที่เริ่มเก็บ
ค่าบริการ</t>
  </si>
  <si>
    <t>รายการเบิก
คอมขาย</t>
  </si>
  <si>
    <t>เลขที่ใบกำกับ/ใบเสร็จรับเงิน</t>
  </si>
  <si>
    <t>รหัสลูกค้า</t>
  </si>
  <si>
    <t>ค่าขายอุปกรณ์</t>
  </si>
  <si>
    <t>สรุปรายการผู้รับเงิน</t>
  </si>
  <si>
    <t xml:space="preserve">เลขที่นำส่งเงิน
</t>
  </si>
  <si>
    <t>บริษัท เจริญเคเบิลทีวี เน็ตเวอร์ค จำกัด</t>
  </si>
  <si>
    <t>บริการประเภท</t>
  </si>
  <si>
    <t>Cable DTV</t>
  </si>
  <si>
    <t>Cable IPTV</t>
  </si>
  <si>
    <t>Internet Lease Line</t>
  </si>
  <si>
    <t>ประเภทบริการ</t>
  </si>
  <si>
    <t>Cable DTV + FTTX</t>
  </si>
  <si>
    <t>Cable DTV + Internet ( Hotspot wifi )</t>
  </si>
  <si>
    <t>Cable DTV + Lan to room</t>
  </si>
  <si>
    <t>Cable DTV + Lease Line</t>
  </si>
  <si>
    <t>Cable DTV + WI FI Hospot</t>
  </si>
  <si>
    <t>Cable DTV ขายอุปกรณ์</t>
  </si>
  <si>
    <t>Cable IPTV + FTTX</t>
  </si>
  <si>
    <t>Cable IPTV + Lease Line</t>
  </si>
  <si>
    <t>Internet ( Fttx to Head)</t>
  </si>
  <si>
    <t>Internet ( Hotspot wifi )</t>
  </si>
  <si>
    <t>Internet FTTx Room</t>
  </si>
  <si>
    <t>Internet Lan To Room</t>
  </si>
  <si>
    <t>Internet Lease Line Event</t>
  </si>
  <si>
    <t>Internet WI FI Hospot</t>
  </si>
  <si>
    <t>ทีมงานขาย
(ชื่อทีม/คน ขายสาขา)</t>
  </si>
  <si>
    <t>Digital Steams</t>
  </si>
  <si>
    <t>หักส่วนต่างระหว่างบริษัท
(CBN-CN 3%)</t>
  </si>
  <si>
    <t>ยอดเงินโอนสุทธิ</t>
  </si>
  <si>
    <t>คุณสุภาภรณ์ ม่วงทอง</t>
  </si>
  <si>
    <t>คุณอภิษฎา ยศราวาส</t>
  </si>
  <si>
    <t>Event</t>
  </si>
  <si>
    <t>TEAM  SALES MG</t>
  </si>
  <si>
    <t>SC</t>
  </si>
  <si>
    <t>รายงานสรุปค่าคอมมิชชั่นจากการติดตั้งประจำปี 2567</t>
  </si>
  <si>
    <t>ฝ่ายขายกลุ่ม Ressident</t>
  </si>
  <si>
    <t>ค่าคอมขาย -Cable TV</t>
  </si>
  <si>
    <t>ค่าคอมขาย - HOTSPOT WIFI</t>
  </si>
  <si>
    <t>ตั้งเบิก บริษัท เจริญเคเบิลทีวี เน็ตเวอร์ค จำกัด</t>
  </si>
  <si>
    <t>คุณรุ่งอรุณ อินบุญรอด</t>
  </si>
  <si>
    <t>คุณศศินาถ จุ้ยอยู่ทอง</t>
  </si>
  <si>
    <t>คุณวัชราภรณ์ ปินะกะเส</t>
  </si>
  <si>
    <t>คุณธัญลักษณ์ หมื่นหลุบกุง</t>
  </si>
  <si>
    <t>คุณนิมิต จุ้ยอยู่ทอง</t>
  </si>
  <si>
    <t>คุณธวัช มีแสง</t>
  </si>
  <si>
    <t>คุณแดง มูลสองแคว</t>
  </si>
  <si>
    <t>คุณนิยนต์ อยู่ทะเล</t>
  </si>
  <si>
    <t>คุณจินตนา อ้อยหวาน</t>
  </si>
  <si>
    <t>คุณพัชรพรรณ พึ่งพา</t>
  </si>
  <si>
    <t>คุณดาราวรรณ อรัญญะ</t>
  </si>
  <si>
    <t>ธนาคาร</t>
  </si>
  <si>
    <t>เลขที่บัญชี</t>
  </si>
  <si>
    <t>RS</t>
  </si>
  <si>
    <t>คุณดารณี อนันทวัน</t>
  </si>
  <si>
    <t>รายละเอียดการจัดสรรส่วนแบ่ง ค่าคอมฯ ส่วนงาน RS</t>
  </si>
  <si>
    <t xml:space="preserve">051-2-27264-2 </t>
  </si>
  <si>
    <t>051-2-28325-0</t>
  </si>
  <si>
    <t>051-2-32010-2</t>
  </si>
  <si>
    <t>051-2-19666-8</t>
  </si>
  <si>
    <t>150-2-58423-6</t>
  </si>
  <si>
    <t>051-2-27260-0</t>
  </si>
  <si>
    <t>210-2-29048-9</t>
  </si>
  <si>
    <t>TTB</t>
  </si>
  <si>
    <t>931-2-06799-5</t>
  </si>
  <si>
    <t>คุณณรงศ์ศักย์ เหล่ารัตนเวช</t>
  </si>
  <si>
    <t>919-7-16713-4</t>
  </si>
  <si>
    <t>บริษัท เคเบิลคอนเนค จำกัด</t>
  </si>
  <si>
    <t>รายชื่อผู้รับค่าคอมส่วนงาน RS  (ตามหลักเกณฑ์ใหม่)</t>
  </si>
  <si>
    <t>ค่าคอมฯขาย Cable TV</t>
  </si>
  <si>
    <t>.</t>
  </si>
  <si>
    <t>รายการเบิก
คอมขายเพิ่มเติม
(เป้าตามกำหนด)
100-200%</t>
  </si>
  <si>
    <t>Internet ( Hotspot wifi ) ขายอุปกรณ์</t>
  </si>
  <si>
    <t>คุณสุชานัน พึ่งพา</t>
  </si>
  <si>
    <t>931-2-06801-9</t>
  </si>
  <si>
    <t>ค่าติดตั้ง/ค่าเชื่อมสัญญาณ</t>
  </si>
  <si>
    <t>ต้นทุนค่าติดตั้ง/ค่าเชื่อมสัญญาณ</t>
  </si>
  <si>
    <t>Total 
คอมฯค่าติดตั้ง/ค่าเชื่อมสัญญาณ</t>
  </si>
  <si>
    <t>ต้นทุนค่าขายอุปกรณ์</t>
  </si>
  <si>
    <t>คอมฯอุปกรณ์
 5%</t>
  </si>
  <si>
    <t>คอมฯ อุปกรณ์
25%</t>
  </si>
  <si>
    <t>Total
คอมฯ อุปกรณ์</t>
  </si>
  <si>
    <t>รวมค่าคอมฯ</t>
  </si>
  <si>
    <t>LB</t>
  </si>
  <si>
    <t>WING670624</t>
  </si>
  <si>
    <t>บริษัท เดอะ การ์เด้น เพลส งามวงศ์วาน จำกัด</t>
  </si>
  <si>
    <t>โครงการ เดอะการ์เด้นเพลส</t>
  </si>
  <si>
    <t>IV6710189</t>
  </si>
  <si>
    <t>NG</t>
  </si>
  <si>
    <t>NGCBN-HP241003</t>
  </si>
  <si>
    <t>ประจำเดือน พฤศจิกายน</t>
  </si>
  <si>
    <t>สรุปรายการเบิกค่าคอมมิชชั่น ประจำเดือน พฤศจิกายน 2567</t>
  </si>
  <si>
    <t>สรุปรายการเบิกค่าคอมมิชชั่น ประจำเดือน  พฤศจิกายน 2567</t>
  </si>
  <si>
    <t>ยกมาจากรอบ ต.ค. 67 เนื่องจาก Sales ส่งเอกสารไม่ทัน</t>
  </si>
  <si>
    <t>WILB671033</t>
  </si>
  <si>
    <t>คุณรัตนา บางเทศธรรม</t>
  </si>
  <si>
    <t>โครงการ ศักดิ์นาวิล แมนชั่น</t>
  </si>
  <si>
    <t>IV6710302</t>
  </si>
  <si>
    <t>WILB671034</t>
  </si>
  <si>
    <t>คุณศศิลดา เหรียญตระกูลชัย</t>
  </si>
  <si>
    <t>โครงการ ภีทยา แมนชั่น</t>
  </si>
  <si>
    <t>IV6710278</t>
  </si>
  <si>
    <t>WIWD670932</t>
  </si>
  <si>
    <t>โครงการ สิริวรรณ</t>
  </si>
  <si>
    <t>คุณสิริวรรณ โล้พิรุณ</t>
  </si>
  <si>
    <t>IV6711232</t>
  </si>
  <si>
    <t>WD</t>
  </si>
  <si>
    <t>รอเลขที่นำส่ง</t>
  </si>
  <si>
    <t>บริษัท เอ็ม แมนชั่น จำกัด</t>
  </si>
  <si>
    <t>โครงการ เอ็ม แมนชั่น 23</t>
  </si>
  <si>
    <t>RIIVL-2411-0002</t>
  </si>
  <si>
    <t>RI</t>
  </si>
  <si>
    <t>บริษัท เอ็ม.เค. แมนชั่น จำกัด</t>
  </si>
  <si>
    <t>โครงการ เอ็ม.เค.แมนชั่น</t>
  </si>
  <si>
    <t>RIIVL-2411-0003</t>
  </si>
  <si>
    <t>คุณปราณี มะลูลีม</t>
  </si>
  <si>
    <t>โครงการ ริฟาอีแมนชั่น</t>
  </si>
  <si>
    <t>RMIVL-2411-0001</t>
  </si>
  <si>
    <t>RM</t>
  </si>
  <si>
    <t>คุณคมสิทธิ์ ม้าทองคำกุล</t>
  </si>
  <si>
    <t>โครงการ ทิพย์ทอง  อพาร์ทเม้นท์</t>
  </si>
  <si>
    <t>RIIVL-2411-0001</t>
  </si>
  <si>
    <t>ห้องเช่าอาจารย์ทรรศพร รร.อนุบาลเจริญพงษ์</t>
  </si>
  <si>
    <t>WDIVL-2411-0336</t>
  </si>
  <si>
    <t>คุณธัญธร ศิริวรรณวัฒนา</t>
  </si>
  <si>
    <t>โครงการ ราม เฮ้าส์</t>
  </si>
  <si>
    <t>NCIVL-2411-0511</t>
  </si>
  <si>
    <t>NC</t>
  </si>
  <si>
    <t>บริษัท ไฮ โฮเทล แอนด์ เรสซิเดนซ์ จำกัด</t>
  </si>
  <si>
    <t>โครงการ VDA Residence- Victory Monument-Bangkok</t>
  </si>
  <si>
    <t>คุณชนัฐฎา สนคะมี</t>
  </si>
  <si>
    <t>PYIVL-2410-0031</t>
  </si>
  <si>
    <t>PT</t>
  </si>
  <si>
    <t>Total
รายการเบิก
คอมขาย</t>
  </si>
  <si>
    <t>261-2-24637-7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</si>
</sst>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_(* \(#,##0\);_(* &quot;-&quot;_);_(@_)"/>
    <numFmt numFmtId="165" formatCode="_(&quot;$&quot;* #,##0.00_);_(&quot;$&quot;* \(#,##0.00\);_(&quot;$&quot;* &quot;-&quot;??_);_(@_)"/>
    <numFmt numFmtId="166" formatCode="_(* #,##0.00_);_(* \(#,##0.00\);_(* &quot;-&quot;??_);_(@_)"/>
  </numFmts>
  <fonts count="58">
    <font>
      <sz val="10"/>
      <name val="Arial"/>
    </font>
    <font>
      <b/>
      <sz val="15"/>
      <color theme="3"/>
      <name val="Angsana New"/>
      <family val="2"/>
      <charset val="222"/>
    </font>
    <font>
      <b/>
      <sz val="14"/>
      <color indexed="63"/>
      <name val="Arial"/>
      <family val="2"/>
    </font>
    <font>
      <sz val="10"/>
      <name val="Arial"/>
      <family val="2"/>
    </font>
    <font>
      <sz val="12"/>
      <name val="Arial"/>
      <family val="2"/>
    </font>
    <font>
      <b/>
      <sz val="11"/>
      <color theme="3"/>
      <name val="Angsana New"/>
      <family val="2"/>
      <charset val="222"/>
    </font>
    <font>
      <b/>
      <sz val="14"/>
      <name val="Arial"/>
      <family val="2"/>
    </font>
    <font>
      <b/>
      <sz val="13"/>
      <name val="Arial"/>
      <family val="2"/>
    </font>
    <font>
      <b/>
      <sz val="12"/>
      <name val="Arial"/>
      <family val="2"/>
    </font>
    <font>
      <sz val="11"/>
      <color theme="1"/>
      <name val="Angsana New"/>
      <family val="2"/>
      <charset val="222"/>
    </font>
    <font>
      <sz val="12"/>
      <color indexed="8"/>
      <name val="Arial"/>
      <family val="2"/>
    </font>
    <font>
      <sz val="11"/>
      <color indexed="8"/>
      <name val="Arial"/>
      <family val="2"/>
    </font>
    <font>
      <b/>
      <sz val="11"/>
      <color theme="1"/>
      <name val="Angsana New"/>
      <family val="2"/>
      <charset val="222"/>
    </font>
    <font>
      <sz val="11"/>
      <name val="Arial"/>
      <family val="2"/>
    </font>
    <font>
      <sz val="10"/>
      <name val="Arial"/>
      <family val="2"/>
    </font>
    <font>
      <b/>
      <sz val="12"/>
      <color indexed="63"/>
      <name val="Arial"/>
      <family val="2"/>
    </font>
    <font>
      <b/>
      <sz val="11"/>
      <color indexed="8"/>
      <name val="Arial"/>
      <family val="2"/>
    </font>
    <font>
      <sz val="12"/>
      <color indexed="17"/>
      <name val="Arial"/>
      <family val="2"/>
    </font>
    <font>
      <sz val="11"/>
      <color rgb="FF006100"/>
      <name val="Angsana New"/>
      <family val="2"/>
      <charset val="222"/>
    </font>
    <font>
      <sz val="12"/>
      <color theme="1"/>
      <name val="Arial"/>
      <family val="2"/>
    </font>
    <font>
      <sz val="8"/>
      <name val="Arial"/>
      <family val="2"/>
    </font>
    <font>
      <b/>
      <sz val="18"/>
      <color theme="3"/>
      <name val="Cordia New"/>
      <family val="2"/>
      <charset val="222"/>
    </font>
    <font>
      <b/>
      <sz val="11"/>
      <name val="Arial"/>
      <family val="2"/>
    </font>
    <font>
      <sz val="11"/>
      <color rgb="FF000000"/>
      <name val="Arial"/>
      <family val="2"/>
    </font>
    <font>
      <b/>
      <sz val="11"/>
      <color indexed="56"/>
      <name val="Arial"/>
      <family val="2"/>
    </font>
    <font>
      <sz val="9"/>
      <color rgb="FFFF0000"/>
      <name val="Arial"/>
      <family val="2"/>
    </font>
    <font>
      <b/>
      <sz val="9"/>
      <color rgb="FFFF0000"/>
      <name val="Arial"/>
      <family val="2"/>
    </font>
    <font>
      <sz val="11"/>
      <name val="Arial Black"/>
      <family val="2"/>
    </font>
    <font>
      <b/>
      <sz val="11"/>
      <name val="Tahoma"/>
      <family val="2"/>
    </font>
    <font>
      <b/>
      <sz val="11"/>
      <color indexed="8"/>
      <name val="Tahoma"/>
      <family val="2"/>
    </font>
    <font>
      <sz val="11"/>
      <name val="Tahoma"/>
      <family val="2"/>
    </font>
    <font>
      <sz val="11"/>
      <color indexed="8"/>
      <name val="Tahoma"/>
      <family val="2"/>
    </font>
    <font>
      <sz val="11"/>
      <color rgb="FF000000"/>
      <name val="Tahoma"/>
      <family val="2"/>
    </font>
    <font>
      <b/>
      <sz val="11"/>
      <name val="Arial Black"/>
      <family val="2"/>
      <charset val="222"/>
    </font>
    <font>
      <b/>
      <sz val="11"/>
      <name val="Tahoma"/>
      <family val="2"/>
      <charset val="222"/>
    </font>
    <font>
      <b/>
      <sz val="11"/>
      <color indexed="8"/>
      <name val="Tahoma"/>
      <family val="2"/>
      <charset val="222"/>
    </font>
    <font>
      <sz val="12"/>
      <color rgb="FFFF0000"/>
      <name val="Arial"/>
      <family val="2"/>
    </font>
    <font>
      <b/>
      <sz val="12"/>
      <name val="Tahoma"/>
      <family val="2"/>
    </font>
    <font>
      <b/>
      <sz val="12"/>
      <color rgb="FFFF0000"/>
      <name val="Arial"/>
      <family val="2"/>
    </font>
    <font>
      <b/>
      <sz val="11"/>
      <color rgb="FF000000"/>
      <name val="Arial"/>
      <family val="2"/>
    </font>
    <font>
      <b/>
      <sz val="12"/>
      <color rgb="FF000000"/>
      <name val="Calibri"/>
      <family val="2"/>
    </font>
    <font>
      <sz val="12"/>
      <color indexed="9"/>
      <name val="Arial"/>
      <family val="2"/>
    </font>
    <font>
      <sz val="12"/>
      <name val="Angsana New"/>
      <family val="2"/>
    </font>
    <font>
      <b/>
      <sz val="10"/>
      <color rgb="FFFFFFFF"/>
      <name val="Arial"/>
      <family val="2"/>
    </font>
    <font>
      <sz val="10"/>
      <color theme="1"/>
      <name val="Calibri"/>
      <family val="2"/>
      <scheme val="minor"/>
    </font>
    <font>
      <b/>
      <sz val="11"/>
      <color rgb="FFFF0000"/>
      <name val="Arial"/>
      <family val="2"/>
    </font>
    <font>
      <sz val="14"/>
      <name val="Arial"/>
      <family val="2"/>
    </font>
    <font>
      <sz val="14"/>
      <color indexed="8"/>
      <name val="Arial"/>
      <family val="2"/>
    </font>
    <font>
      <sz val="14"/>
      <color theme="1"/>
      <name val="Arial"/>
      <family val="2"/>
    </font>
    <font>
      <b/>
      <sz val="12"/>
      <name val="Arial Black"/>
      <family val="2"/>
    </font>
    <font>
      <b/>
      <sz val="12"/>
      <color indexed="40"/>
      <name val="Tahoma"/>
      <family val="2"/>
    </font>
    <font>
      <b/>
      <sz val="14"/>
      <color rgb="FF000000"/>
      <name val="Arial"/>
      <family val="2"/>
    </font>
    <font>
      <sz val="14"/>
      <color theme="0"/>
      <name val="Arial"/>
      <family val="2"/>
    </font>
    <font>
      <b/>
      <sz val="12"/>
      <color indexed="10"/>
      <name val="Arial"/>
      <family val="2"/>
    </font>
    <font>
      <b/>
      <sz val="11"/>
      <color theme="1"/>
      <name val="Arial"/>
      <family val="2"/>
    </font>
    <font>
      <sz val="12"/>
      <color rgb="FF0000FF"/>
      <name val="Arial"/>
      <family val="2"/>
    </font>
    <font>
      <sz val="11"/>
      <color theme="1"/>
      <name val="Arial"/>
      <family val="2"/>
    </font>
    <font>
      <b/>
      <sz val="14"/>
      <color rgb="FF000000"/>
      <name val="Calibri"/>
      <family val="2"/>
    </font>
  </fonts>
  <fills count="25">
    <fill>
      <patternFill patternType="none"/>
    </fill>
    <fill>
      <patternFill patternType="gray125"/>
    </fill>
    <fill>
      <patternFill patternType="solid">
        <fgColor rgb="FFC6EFCE"/>
      </patternFill>
    </fill>
    <fill>
      <patternFill patternType="solid">
        <fgColor theme="6" tint="0.59999389629810485"/>
        <bgColor indexed="65"/>
      </patternFill>
    </fill>
    <fill>
      <patternFill patternType="solid">
        <fgColor theme="8" tint="0.59999389629810485"/>
        <bgColor indexed="65"/>
      </patternFill>
    </fill>
    <fill>
      <patternFill patternType="solid">
        <fgColor indexed="9"/>
        <bgColor indexed="64"/>
      </patternFill>
    </fill>
    <fill>
      <patternFill patternType="solid">
        <fgColor indexed="22"/>
        <bgColor indexed="64"/>
      </patternFill>
    </fill>
    <fill>
      <patternFill patternType="solid">
        <fgColor rgb="FFFFC000"/>
        <bgColor indexed="64"/>
      </patternFill>
    </fill>
    <fill>
      <patternFill patternType="solid">
        <fgColor theme="0" tint="-4.9989318521683403E-2"/>
        <bgColor indexed="64"/>
      </patternFill>
    </fill>
    <fill>
      <patternFill patternType="solid">
        <fgColor indexed="22"/>
        <bgColor indexed="22"/>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
      <patternFill patternType="solid">
        <fgColor theme="8" tint="-0.249977111117893"/>
        <bgColor indexed="64"/>
      </patternFill>
    </fill>
    <fill>
      <patternFill patternType="solid">
        <fgColor rgb="FFBDD6EE"/>
        <bgColor rgb="FFBDD6EE"/>
      </patternFill>
    </fill>
    <fill>
      <patternFill patternType="solid">
        <fgColor rgb="FFFFC000"/>
        <bgColor rgb="FFBDD6EE"/>
      </patternFill>
    </fill>
    <fill>
      <patternFill patternType="solid">
        <fgColor rgb="FF000090"/>
        <bgColor rgb="FF000090"/>
      </patternFill>
    </fill>
    <fill>
      <patternFill patternType="solid">
        <fgColor rgb="FFFFC000"/>
        <bgColor rgb="FFFFC000"/>
      </patternFill>
    </fill>
    <fill>
      <patternFill patternType="solid">
        <fgColor theme="5" tint="0.79998168889431442"/>
        <bgColor indexed="64"/>
      </patternFill>
    </fill>
    <fill>
      <patternFill patternType="solid">
        <fgColor theme="0" tint="-0.249977111117893"/>
        <bgColor indexed="64"/>
      </patternFill>
    </fill>
    <fill>
      <patternFill patternType="solid">
        <fgColor theme="5" tint="0.59999389629810485"/>
        <bgColor indexed="64"/>
      </patternFill>
    </fill>
    <fill>
      <patternFill patternType="solid">
        <fgColor theme="8" tint="0.59999389629810485"/>
        <bgColor rgb="FFBDD6EE"/>
      </patternFill>
    </fill>
    <fill>
      <patternFill patternType="solid">
        <fgColor theme="8" tint="0.59999389629810485"/>
        <bgColor indexed="64"/>
      </patternFill>
    </fill>
    <fill>
      <patternFill patternType="solid">
        <fgColor theme="6" tint="0.79998168889431442"/>
        <bgColor indexed="64"/>
      </patternFill>
    </fill>
    <fill>
      <patternFill patternType="solid">
        <fgColor theme="4" tint="0.79998168889431442"/>
        <bgColor indexed="64"/>
      </patternFill>
    </fill>
  </fills>
  <borders count="70">
    <border>
      <left/>
      <right/>
      <top/>
      <bottom/>
      <diagonal/>
    </border>
    <border>
      <left/>
      <right/>
      <top/>
      <bottom style="thick">
        <color theme="4"/>
      </bottom>
      <diagonal/>
    </border>
    <border>
      <left/>
      <right/>
      <top style="thin">
        <color theme="4"/>
      </top>
      <bottom style="double">
        <color theme="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53"/>
      </top>
      <bottom/>
      <diagonal/>
    </border>
    <border>
      <left style="thin">
        <color indexed="64"/>
      </left>
      <right style="thin">
        <color indexed="64"/>
      </right>
      <top style="medium">
        <color indexed="53"/>
      </top>
      <bottom style="hair">
        <color indexed="53"/>
      </bottom>
      <diagonal/>
    </border>
    <border>
      <left style="thin">
        <color indexed="64"/>
      </left>
      <right style="thin">
        <color indexed="64"/>
      </right>
      <top style="hair">
        <color indexed="64"/>
      </top>
      <bottom style="hair">
        <color indexed="64"/>
      </bottom>
      <diagonal/>
    </border>
    <border>
      <left/>
      <right style="thin">
        <color indexed="64"/>
      </right>
      <top style="hair">
        <color indexed="53"/>
      </top>
      <bottom style="hair">
        <color indexed="53"/>
      </bottom>
      <diagonal/>
    </border>
    <border>
      <left style="thin">
        <color indexed="64"/>
      </left>
      <right style="thin">
        <color indexed="64"/>
      </right>
      <top style="hair">
        <color indexed="53"/>
      </top>
      <bottom style="hair">
        <color indexed="53"/>
      </bottom>
      <diagonal/>
    </border>
    <border>
      <left/>
      <right style="thin">
        <color indexed="64"/>
      </right>
      <top style="medium">
        <color indexed="53"/>
      </top>
      <bottom style="hair">
        <color indexed="53"/>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53"/>
      </top>
      <bottom style="dotted">
        <color indexed="53"/>
      </bottom>
      <diagonal/>
    </border>
    <border>
      <left style="thin">
        <color indexed="64"/>
      </left>
      <right style="thin">
        <color indexed="64"/>
      </right>
      <top style="hair">
        <color indexed="53"/>
      </top>
      <bottom/>
      <diagonal/>
    </border>
    <border>
      <left/>
      <right style="thin">
        <color indexed="64"/>
      </right>
      <top style="medium">
        <color indexed="53"/>
      </top>
      <bottom/>
      <diagonal/>
    </border>
    <border>
      <left/>
      <right style="thin">
        <color indexed="64"/>
      </right>
      <top style="dotted">
        <color indexed="53"/>
      </top>
      <bottom style="dotted">
        <color indexed="53"/>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hair">
        <color indexed="53"/>
      </top>
      <bottom style="hair">
        <color indexed="53"/>
      </bottom>
      <diagonal/>
    </border>
    <border>
      <left style="medium">
        <color indexed="64"/>
      </left>
      <right style="thin">
        <color indexed="64"/>
      </right>
      <top/>
      <bottom/>
      <diagonal/>
    </border>
    <border>
      <left style="medium">
        <color indexed="64"/>
      </left>
      <right style="thin">
        <color indexed="64"/>
      </right>
      <top style="medium">
        <color indexed="53"/>
      </top>
      <bottom style="hair">
        <color indexed="53"/>
      </bottom>
      <diagonal/>
    </border>
    <border>
      <left style="medium">
        <color indexed="64"/>
      </left>
      <right style="thin">
        <color indexed="64"/>
      </right>
      <top style="medium">
        <color indexed="53"/>
      </top>
      <bottom/>
      <diagonal/>
    </border>
    <border>
      <left style="medium">
        <color indexed="64"/>
      </left>
      <right style="thin">
        <color indexed="64"/>
      </right>
      <top style="dotted">
        <color indexed="53"/>
      </top>
      <bottom style="dotted">
        <color indexed="53"/>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double">
        <color indexed="64"/>
      </bottom>
      <diagonal/>
    </border>
    <border>
      <left style="medium">
        <color rgb="FF000000"/>
      </left>
      <right style="medium">
        <color rgb="FF000000"/>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dotted">
        <color indexed="53"/>
      </top>
      <bottom style="medium">
        <color theme="5"/>
      </bottom>
      <diagonal/>
    </border>
    <border>
      <left style="thin">
        <color indexed="64"/>
      </left>
      <right style="thin">
        <color indexed="64"/>
      </right>
      <top/>
      <bottom style="medium">
        <color theme="5"/>
      </bottom>
      <diagonal/>
    </border>
    <border>
      <left/>
      <right style="thin">
        <color indexed="64"/>
      </right>
      <top/>
      <bottom style="medium">
        <color theme="5"/>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hair">
        <color indexed="53"/>
      </top>
      <bottom style="hair">
        <color indexed="53"/>
      </bottom>
      <diagonal/>
    </border>
    <border>
      <left/>
      <right style="medium">
        <color indexed="64"/>
      </right>
      <top/>
      <bottom/>
      <diagonal/>
    </border>
    <border>
      <left/>
      <right/>
      <top style="hair">
        <color indexed="53"/>
      </top>
      <bottom style="hair">
        <color indexed="53"/>
      </bottom>
      <diagonal/>
    </border>
    <border>
      <left/>
      <right/>
      <top style="medium">
        <color indexed="53"/>
      </top>
      <bottom/>
      <diagonal/>
    </border>
    <border>
      <left/>
      <right/>
      <top style="dotted">
        <color indexed="53"/>
      </top>
      <bottom style="dotted">
        <color indexed="53"/>
      </bottom>
      <diagonal/>
    </border>
    <border>
      <left/>
      <right/>
      <top style="hair">
        <color indexed="53"/>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hair">
        <color indexed="53"/>
      </bottom>
      <diagonal/>
    </border>
    <border>
      <left/>
      <right style="medium">
        <color indexed="64"/>
      </right>
      <top style="medium">
        <color indexed="64"/>
      </top>
      <bottom/>
      <diagonal/>
    </border>
    <border>
      <left/>
      <right style="medium">
        <color indexed="64"/>
      </right>
      <top/>
      <bottom style="medium">
        <color indexed="64"/>
      </bottom>
      <diagonal/>
    </border>
    <border>
      <left style="thin">
        <color auto="1"/>
      </left>
      <right style="thin">
        <color auto="1"/>
      </right>
      <top style="thin">
        <color auto="1"/>
      </top>
      <bottom/>
      <diagonal/>
    </border>
    <border>
      <left style="medium">
        <color indexed="64"/>
      </left>
      <right style="thin">
        <color indexed="64"/>
      </right>
      <top/>
      <bottom style="hair">
        <color indexed="53"/>
      </bottom>
      <diagonal/>
    </border>
    <border>
      <left/>
      <right style="thin">
        <color indexed="64"/>
      </right>
      <top/>
      <bottom style="hair">
        <color indexed="53"/>
      </bottom>
      <diagonal/>
    </border>
    <border>
      <left style="thin">
        <color indexed="64"/>
      </left>
      <right style="thin">
        <color indexed="64"/>
      </right>
      <top/>
      <bottom style="hair">
        <color indexed="53"/>
      </bottom>
      <diagonal/>
    </border>
    <border>
      <left/>
      <right/>
      <top/>
      <bottom style="hair">
        <color indexed="53"/>
      </bottom>
      <diagonal/>
    </border>
    <border>
      <left style="medium">
        <color indexed="64"/>
      </left>
      <right style="thin">
        <color indexed="64"/>
      </right>
      <top style="medium">
        <color indexed="64"/>
      </top>
      <bottom style="hair">
        <color indexed="53"/>
      </bottom>
      <diagonal/>
    </border>
    <border>
      <left/>
      <right style="thin">
        <color indexed="64"/>
      </right>
      <top style="medium">
        <color indexed="64"/>
      </top>
      <bottom style="hair">
        <color indexed="53"/>
      </bottom>
      <diagonal/>
    </border>
    <border>
      <left/>
      <right style="medium">
        <color indexed="64"/>
      </right>
      <top style="medium">
        <color indexed="64"/>
      </top>
      <bottom style="hair">
        <color indexed="53"/>
      </bottom>
      <diagonal/>
    </border>
  </borders>
  <cellStyleXfs count="14">
    <xf numFmtId="0" fontId="0" fillId="0" borderId="0"/>
    <xf numFmtId="166" fontId="3" fillId="0" borderId="0" applyFont="0" applyFill="0" applyBorder="0" applyAlignment="0" applyProtection="0"/>
    <xf numFmtId="165" fontId="3" fillId="0" borderId="0" applyFont="0" applyFill="0" applyBorder="0" applyAlignment="0" applyProtection="0"/>
    <xf numFmtId="0" fontId="1" fillId="0" borderId="1" applyNumberFormat="0" applyFill="0" applyAlignment="0" applyProtection="0"/>
    <xf numFmtId="0" fontId="5" fillId="0" borderId="0" applyNumberFormat="0" applyFill="0" applyBorder="0" applyAlignment="0" applyProtection="0"/>
    <xf numFmtId="0" fontId="18" fillId="2" borderId="0" applyNumberFormat="0" applyBorder="0" applyAlignment="0" applyProtection="0"/>
    <xf numFmtId="0" fontId="12" fillId="0" borderId="2" applyNumberFormat="0" applyFill="0" applyAlignment="0" applyProtection="0"/>
    <xf numFmtId="0" fontId="9" fillId="3" borderId="0" applyNumberFormat="0" applyBorder="0" applyAlignment="0" applyProtection="0"/>
    <xf numFmtId="0" fontId="9" fillId="4" borderId="0" applyNumberFormat="0" applyBorder="0" applyAlignment="0" applyProtection="0"/>
    <xf numFmtId="9" fontId="3" fillId="0" borderId="0" applyFont="0" applyFill="0" applyBorder="0" applyAlignment="0" applyProtection="0"/>
    <xf numFmtId="0" fontId="21" fillId="0" borderId="0" applyNumberFormat="0" applyFill="0" applyBorder="0" applyAlignment="0" applyProtection="0"/>
    <xf numFmtId="166" fontId="14" fillId="0" borderId="0" applyFont="0" applyFill="0" applyBorder="0" applyAlignment="0" applyProtection="0"/>
    <xf numFmtId="0" fontId="14" fillId="0" borderId="0"/>
    <xf numFmtId="0" fontId="5" fillId="0" borderId="0" applyNumberFormat="0" applyFill="0" applyBorder="0" applyAlignment="0" applyProtection="0"/>
  </cellStyleXfs>
  <cellXfs count="560">
    <xf numFmtId="0" fontId="0" fillId="0" borderId="0" xfId="0"/>
    <xf numFmtId="0" fontId="2" fillId="0" borderId="0" xfId="3" applyFont="1" applyBorder="1" applyAlignment="1" applyProtection="1">
      <alignment horizontal="centerContinuous"/>
      <protection locked="0"/>
    </xf>
    <xf numFmtId="0" fontId="2" fillId="0" borderId="0" xfId="3" applyFont="1" applyBorder="1" applyAlignment="1" applyProtection="1">
      <alignment horizontal="center"/>
      <protection locked="0"/>
    </xf>
    <xf numFmtId="0" fontId="4" fillId="0" borderId="0" xfId="0" applyFont="1" applyProtection="1">
      <protection locked="0"/>
    </xf>
    <xf numFmtId="166" fontId="4" fillId="0" borderId="0" xfId="1" applyFont="1" applyProtection="1">
      <protection locked="0"/>
    </xf>
    <xf numFmtId="0" fontId="6" fillId="0" borderId="0" xfId="4" applyFont="1" applyAlignment="1" applyProtection="1">
      <alignment horizontal="centerContinuous" vertical="center"/>
      <protection locked="0"/>
    </xf>
    <xf numFmtId="0" fontId="7" fillId="0" borderId="0" xfId="4" applyFont="1" applyAlignment="1" applyProtection="1">
      <alignment horizontal="centerContinuous" vertical="center"/>
      <protection locked="0"/>
    </xf>
    <xf numFmtId="0" fontId="7" fillId="0" borderId="0" xfId="4" applyFont="1" applyAlignment="1" applyProtection="1">
      <alignment horizontal="center" vertical="center"/>
      <protection locked="0"/>
    </xf>
    <xf numFmtId="0" fontId="6" fillId="0" borderId="0" xfId="0" applyFont="1" applyProtection="1">
      <protection locked="0"/>
    </xf>
    <xf numFmtId="0" fontId="8" fillId="0" borderId="0" xfId="0" applyFont="1" applyAlignment="1" applyProtection="1">
      <alignment horizontal="center"/>
      <protection locked="0"/>
    </xf>
    <xf numFmtId="4" fontId="8" fillId="0" borderId="0" xfId="1" applyNumberFormat="1" applyFont="1" applyAlignment="1" applyProtection="1">
      <alignment horizontal="center"/>
      <protection locked="0"/>
    </xf>
    <xf numFmtId="166" fontId="8" fillId="0" borderId="0" xfId="1" applyFont="1" applyAlignment="1" applyProtection="1">
      <alignment horizontal="center"/>
      <protection locked="0"/>
    </xf>
    <xf numFmtId="4" fontId="4" fillId="0" borderId="0" xfId="1" applyNumberFormat="1" applyFont="1" applyProtection="1">
      <protection locked="0"/>
    </xf>
    <xf numFmtId="0" fontId="4" fillId="0" borderId="0" xfId="1" applyNumberFormat="1" applyFont="1" applyProtection="1">
      <protection locked="0"/>
    </xf>
    <xf numFmtId="0" fontId="4" fillId="0" borderId="0" xfId="1" applyNumberFormat="1" applyFont="1" applyAlignment="1" applyProtection="1">
      <alignment horizontal="center"/>
      <protection locked="0"/>
    </xf>
    <xf numFmtId="0" fontId="8" fillId="0" borderId="0" xfId="0" applyFont="1" applyAlignment="1" applyProtection="1">
      <alignment horizontal="left"/>
      <protection locked="0"/>
    </xf>
    <xf numFmtId="0" fontId="10" fillId="5" borderId="0" xfId="8" applyFont="1" applyFill="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10" fillId="0" borderId="8" xfId="6" applyFont="1" applyBorder="1" applyAlignment="1" applyProtection="1">
      <alignment shrinkToFit="1"/>
      <protection locked="0"/>
    </xf>
    <xf numFmtId="0" fontId="10" fillId="0" borderId="7" xfId="6" applyFont="1" applyBorder="1" applyAlignment="1" applyProtection="1">
      <alignment vertical="center" shrinkToFit="1"/>
      <protection locked="0"/>
    </xf>
    <xf numFmtId="0" fontId="10" fillId="0" borderId="10" xfId="6" applyFont="1" applyBorder="1" applyAlignment="1" applyProtection="1">
      <alignment vertical="center" shrinkToFit="1"/>
      <protection locked="0"/>
    </xf>
    <xf numFmtId="165" fontId="8" fillId="0" borderId="0" xfId="2" applyFont="1" applyAlignment="1" applyProtection="1">
      <alignment horizontal="centerContinuous"/>
      <protection locked="0"/>
    </xf>
    <xf numFmtId="165" fontId="8" fillId="0" borderId="0" xfId="2" applyFont="1" applyAlignment="1" applyProtection="1">
      <alignment horizontal="center"/>
      <protection locked="0"/>
    </xf>
    <xf numFmtId="4" fontId="17" fillId="5" borderId="0" xfId="1" applyNumberFormat="1" applyFont="1" applyFill="1" applyProtection="1">
      <protection locked="0"/>
    </xf>
    <xf numFmtId="4" fontId="17" fillId="5" borderId="0" xfId="5" applyNumberFormat="1" applyFont="1" applyFill="1" applyAlignment="1" applyProtection="1">
      <alignment horizontal="center"/>
      <protection locked="0"/>
    </xf>
    <xf numFmtId="4" fontId="8" fillId="0" borderId="0" xfId="0" applyNumberFormat="1" applyFont="1" applyProtection="1">
      <protection locked="0"/>
    </xf>
    <xf numFmtId="0" fontId="8" fillId="0" borderId="0" xfId="1" applyNumberFormat="1" applyFont="1" applyAlignment="1" applyProtection="1">
      <alignment horizontal="center"/>
      <protection locked="0"/>
    </xf>
    <xf numFmtId="4" fontId="15" fillId="0" borderId="0" xfId="1" applyNumberFormat="1" applyFont="1" applyProtection="1">
      <protection locked="0"/>
    </xf>
    <xf numFmtId="166" fontId="15" fillId="0" borderId="0" xfId="1" applyFont="1" applyProtection="1">
      <protection locked="0"/>
    </xf>
    <xf numFmtId="166" fontId="4" fillId="0" borderId="0" xfId="0" applyNumberFormat="1" applyFont="1" applyProtection="1">
      <protection locked="0"/>
    </xf>
    <xf numFmtId="0" fontId="10" fillId="0" borderId="6" xfId="6" applyFont="1" applyBorder="1" applyAlignment="1" applyProtection="1">
      <alignment horizontal="center" shrinkToFit="1"/>
      <protection locked="0"/>
    </xf>
    <xf numFmtId="0" fontId="10" fillId="0" borderId="8" xfId="6" applyFont="1" applyBorder="1" applyAlignment="1" applyProtection="1">
      <alignment horizontal="center" shrinkToFit="1"/>
      <protection locked="0"/>
    </xf>
    <xf numFmtId="0" fontId="10" fillId="0" borderId="7" xfId="6" applyFont="1" applyBorder="1" applyAlignment="1" applyProtection="1">
      <alignment horizontal="center" vertical="center" shrinkToFit="1"/>
      <protection locked="0"/>
    </xf>
    <xf numFmtId="0" fontId="4" fillId="0" borderId="4" xfId="6" applyFont="1" applyBorder="1" applyAlignment="1" applyProtection="1">
      <alignment horizontal="center" shrinkToFit="1"/>
      <protection locked="0"/>
    </xf>
    <xf numFmtId="0" fontId="4" fillId="0" borderId="0" xfId="0" applyFont="1" applyAlignment="1" applyProtection="1">
      <alignment horizontal="center"/>
      <protection locked="0"/>
    </xf>
    <xf numFmtId="166" fontId="4" fillId="0" borderId="0" xfId="1" applyFont="1" applyAlignment="1" applyProtection="1">
      <alignment horizontal="center"/>
      <protection locked="0"/>
    </xf>
    <xf numFmtId="166" fontId="4" fillId="0" borderId="0" xfId="0" applyNumberFormat="1" applyFont="1" applyAlignment="1" applyProtection="1">
      <alignment horizontal="center"/>
      <protection locked="0"/>
    </xf>
    <xf numFmtId="166" fontId="10" fillId="0" borderId="6" xfId="1" applyFont="1" applyBorder="1" applyAlignment="1" applyProtection="1">
      <alignment horizontal="center" shrinkToFit="1"/>
      <protection locked="0"/>
    </xf>
    <xf numFmtId="166" fontId="10" fillId="0" borderId="8" xfId="1" applyFont="1" applyBorder="1" applyAlignment="1" applyProtection="1">
      <alignment horizontal="center" shrinkToFit="1"/>
      <protection locked="0"/>
    </xf>
    <xf numFmtId="166" fontId="4" fillId="0" borderId="4" xfId="1" applyFont="1" applyBorder="1" applyAlignment="1" applyProtection="1">
      <alignment horizontal="center" shrinkToFit="1"/>
      <protection locked="0"/>
    </xf>
    <xf numFmtId="166" fontId="10" fillId="0" borderId="7" xfId="1" applyFont="1" applyBorder="1" applyAlignment="1" applyProtection="1">
      <alignment horizontal="center" vertical="center" shrinkToFit="1"/>
      <protection locked="0"/>
    </xf>
    <xf numFmtId="166" fontId="10" fillId="0" borderId="4" xfId="1" applyFont="1" applyBorder="1" applyAlignment="1" applyProtection="1">
      <alignment horizontal="center" vertical="center" shrinkToFit="1"/>
      <protection locked="0"/>
    </xf>
    <xf numFmtId="0" fontId="10" fillId="0" borderId="8" xfId="1" applyNumberFormat="1" applyFont="1" applyBorder="1" applyAlignment="1" applyProtection="1">
      <alignment horizontal="center" shrinkToFit="1"/>
      <protection locked="0"/>
    </xf>
    <xf numFmtId="0" fontId="4" fillId="0" borderId="4" xfId="1" applyNumberFormat="1" applyFont="1" applyBorder="1" applyAlignment="1" applyProtection="1">
      <alignment horizontal="center" shrinkToFit="1"/>
      <protection locked="0"/>
    </xf>
    <xf numFmtId="0" fontId="10" fillId="0" borderId="4" xfId="1" applyNumberFormat="1" applyFont="1" applyBorder="1" applyAlignment="1" applyProtection="1">
      <alignment horizontal="center" vertical="center" shrinkToFit="1"/>
      <protection locked="0"/>
    </xf>
    <xf numFmtId="166" fontId="2" fillId="0" borderId="0" xfId="1" applyFont="1" applyBorder="1" applyAlignment="1" applyProtection="1">
      <alignment horizontal="centerContinuous"/>
      <protection locked="0"/>
    </xf>
    <xf numFmtId="166" fontId="7" fillId="0" borderId="0" xfId="1" applyFont="1" applyAlignment="1" applyProtection="1">
      <alignment horizontal="centerContinuous" vertical="center"/>
      <protection locked="0"/>
    </xf>
    <xf numFmtId="166" fontId="10" fillId="0" borderId="8" xfId="1" applyFont="1" applyBorder="1" applyAlignment="1" applyProtection="1">
      <alignment shrinkToFit="1"/>
      <protection locked="0"/>
    </xf>
    <xf numFmtId="166" fontId="4" fillId="0" borderId="4" xfId="1" applyFont="1" applyBorder="1" applyAlignment="1" applyProtection="1">
      <alignment horizontal="left" shrinkToFit="1"/>
      <protection locked="0"/>
    </xf>
    <xf numFmtId="166" fontId="10" fillId="0" borderId="7" xfId="1" applyFont="1" applyBorder="1" applyAlignment="1" applyProtection="1">
      <alignment vertical="center" shrinkToFit="1"/>
      <protection locked="0"/>
    </xf>
    <xf numFmtId="166" fontId="10" fillId="0" borderId="4" xfId="1" applyFont="1" applyBorder="1" applyAlignment="1" applyProtection="1">
      <alignment vertical="center" shrinkToFit="1"/>
      <protection locked="0"/>
    </xf>
    <xf numFmtId="166" fontId="10" fillId="0" borderId="4" xfId="1" applyFont="1" applyBorder="1" applyAlignment="1" applyProtection="1">
      <alignment horizontal="left" vertical="center" shrinkToFit="1"/>
      <protection locked="0"/>
    </xf>
    <xf numFmtId="17" fontId="10" fillId="0" borderId="7" xfId="1" applyNumberFormat="1" applyFont="1" applyBorder="1" applyAlignment="1" applyProtection="1">
      <alignment horizontal="center" vertical="center" shrinkToFit="1"/>
      <protection locked="0"/>
    </xf>
    <xf numFmtId="0" fontId="2" fillId="0" borderId="0" xfId="1" applyNumberFormat="1" applyFont="1" applyBorder="1" applyAlignment="1" applyProtection="1">
      <alignment horizontal="centerContinuous"/>
      <protection locked="0"/>
    </xf>
    <xf numFmtId="0" fontId="7" fillId="0" borderId="0" xfId="1" applyNumberFormat="1" applyFont="1" applyAlignment="1" applyProtection="1">
      <alignment horizontal="centerContinuous" vertical="center"/>
      <protection locked="0"/>
    </xf>
    <xf numFmtId="166" fontId="22" fillId="0" borderId="0" xfId="11" applyFont="1"/>
    <xf numFmtId="0" fontId="22" fillId="0" borderId="0" xfId="10" applyFont="1"/>
    <xf numFmtId="0" fontId="22" fillId="9" borderId="13" xfId="10" applyFont="1" applyFill="1" applyBorder="1" applyAlignment="1">
      <alignment horizontal="center" vertical="center"/>
    </xf>
    <xf numFmtId="166" fontId="16" fillId="9" borderId="13" xfId="11" applyFont="1" applyFill="1" applyBorder="1" applyAlignment="1">
      <alignment horizontal="center" vertical="center"/>
    </xf>
    <xf numFmtId="166" fontId="16" fillId="9" borderId="13" xfId="11" applyFont="1" applyFill="1" applyBorder="1" applyAlignment="1">
      <alignment horizontal="center" vertical="center" wrapText="1"/>
    </xf>
    <xf numFmtId="166" fontId="22" fillId="9" borderId="13" xfId="11" applyFont="1" applyFill="1" applyBorder="1" applyAlignment="1">
      <alignment horizontal="center" vertical="center" wrapText="1"/>
    </xf>
    <xf numFmtId="0" fontId="22" fillId="0" borderId="4" xfId="10" applyFont="1" applyBorder="1" applyAlignment="1">
      <alignment horizontal="center"/>
    </xf>
    <xf numFmtId="43" fontId="22" fillId="0" borderId="0" xfId="10" applyNumberFormat="1" applyFont="1"/>
    <xf numFmtId="0" fontId="22" fillId="0" borderId="18" xfId="10" applyFont="1" applyBorder="1"/>
    <xf numFmtId="0" fontId="22" fillId="5" borderId="4" xfId="10" applyFont="1" applyFill="1" applyBorder="1" applyAlignment="1">
      <alignment horizontal="center"/>
    </xf>
    <xf numFmtId="166" fontId="22" fillId="0" borderId="0" xfId="10" applyNumberFormat="1" applyFont="1"/>
    <xf numFmtId="0" fontId="22" fillId="6" borderId="13" xfId="10" applyFont="1" applyFill="1" applyBorder="1"/>
    <xf numFmtId="0" fontId="22" fillId="6" borderId="13" xfId="10" applyFont="1" applyFill="1" applyBorder="1" applyAlignment="1">
      <alignment horizontal="centerContinuous"/>
    </xf>
    <xf numFmtId="166" fontId="16" fillId="6" borderId="12" xfId="11" applyFont="1" applyFill="1" applyBorder="1"/>
    <xf numFmtId="0" fontId="13" fillId="0" borderId="0" xfId="12" applyFont="1"/>
    <xf numFmtId="166" fontId="13" fillId="0" borderId="13" xfId="11" applyFont="1" applyBorder="1"/>
    <xf numFmtId="166" fontId="22" fillId="0" borderId="0" xfId="11" applyFont="1" applyFill="1" applyBorder="1"/>
    <xf numFmtId="0" fontId="8" fillId="0" borderId="0" xfId="12" applyFont="1" applyAlignment="1">
      <alignment horizontal="center"/>
    </xf>
    <xf numFmtId="0" fontId="8" fillId="0" borderId="0" xfId="12" applyFont="1"/>
    <xf numFmtId="166" fontId="13" fillId="0" borderId="0" xfId="11" applyFont="1" applyBorder="1"/>
    <xf numFmtId="0" fontId="24" fillId="0" borderId="0" xfId="13" applyFont="1" applyAlignment="1">
      <alignment horizontal="left" indent="5"/>
    </xf>
    <xf numFmtId="0" fontId="13" fillId="0" borderId="0" xfId="12" applyFont="1" applyAlignment="1">
      <alignment horizontal="left"/>
    </xf>
    <xf numFmtId="166" fontId="24" fillId="0" borderId="0" xfId="11" applyFont="1" applyAlignment="1">
      <alignment horizontal="left" indent="1"/>
    </xf>
    <xf numFmtId="166" fontId="13" fillId="0" borderId="0" xfId="11" applyFont="1"/>
    <xf numFmtId="0" fontId="22" fillId="0" borderId="0" xfId="10" applyFont="1" applyBorder="1"/>
    <xf numFmtId="0" fontId="22" fillId="5" borderId="5" xfId="10" applyFont="1" applyFill="1" applyBorder="1" applyAlignment="1">
      <alignment horizontal="center"/>
    </xf>
    <xf numFmtId="0" fontId="22" fillId="5" borderId="21" xfId="10" applyFont="1" applyFill="1" applyBorder="1" applyAlignment="1">
      <alignment horizontal="center"/>
    </xf>
    <xf numFmtId="166" fontId="16" fillId="10" borderId="13" xfId="11" applyFont="1" applyFill="1" applyBorder="1"/>
    <xf numFmtId="0" fontId="13" fillId="0" borderId="13" xfId="10" applyFont="1" applyBorder="1" applyAlignment="1">
      <alignment horizontal="left"/>
    </xf>
    <xf numFmtId="0" fontId="13" fillId="0" borderId="5" xfId="10" applyFont="1" applyBorder="1" applyAlignment="1">
      <alignment horizontal="left"/>
    </xf>
    <xf numFmtId="0" fontId="13" fillId="5" borderId="13" xfId="10" applyFont="1" applyFill="1" applyBorder="1" applyAlignment="1">
      <alignment horizontal="left" vertical="center" wrapText="1"/>
    </xf>
    <xf numFmtId="166" fontId="11" fillId="5" borderId="13" xfId="11" applyFont="1" applyFill="1" applyBorder="1"/>
    <xf numFmtId="49" fontId="25" fillId="0" borderId="0" xfId="10" applyNumberFormat="1" applyFont="1"/>
    <xf numFmtId="43" fontId="26" fillId="0" borderId="0" xfId="10" applyNumberFormat="1" applyFont="1"/>
    <xf numFmtId="43" fontId="25" fillId="0" borderId="0" xfId="10" applyNumberFormat="1" applyFont="1"/>
    <xf numFmtId="0" fontId="13" fillId="0" borderId="13" xfId="11" applyNumberFormat="1" applyFont="1" applyBorder="1" applyAlignment="1">
      <alignment horizontal="center"/>
    </xf>
    <xf numFmtId="0" fontId="11" fillId="5" borderId="13" xfId="11" applyNumberFormat="1" applyFont="1" applyFill="1" applyBorder="1" applyAlignment="1">
      <alignment horizontal="center"/>
    </xf>
    <xf numFmtId="0" fontId="27" fillId="0" borderId="4" xfId="10" applyFont="1" applyBorder="1" applyAlignment="1">
      <alignment horizontal="center"/>
    </xf>
    <xf numFmtId="0" fontId="27" fillId="5" borderId="5" xfId="10" applyFont="1" applyFill="1" applyBorder="1" applyAlignment="1">
      <alignment horizontal="center"/>
    </xf>
    <xf numFmtId="0" fontId="27" fillId="5" borderId="4" xfId="10" applyFont="1" applyFill="1" applyBorder="1" applyAlignment="1">
      <alignment horizontal="center"/>
    </xf>
    <xf numFmtId="0" fontId="27" fillId="5" borderId="21" xfId="10" applyFont="1" applyFill="1" applyBorder="1" applyAlignment="1">
      <alignment horizontal="center"/>
    </xf>
    <xf numFmtId="0" fontId="28" fillId="0" borderId="0" xfId="10" applyFont="1"/>
    <xf numFmtId="166" fontId="28" fillId="0" borderId="0" xfId="11" applyFont="1"/>
    <xf numFmtId="0" fontId="28" fillId="9" borderId="13" xfId="10" applyFont="1" applyFill="1" applyBorder="1" applyAlignment="1">
      <alignment horizontal="center" vertical="center"/>
    </xf>
    <xf numFmtId="166" fontId="29" fillId="9" borderId="13" xfId="11" applyFont="1" applyFill="1" applyBorder="1" applyAlignment="1">
      <alignment horizontal="center" vertical="center" wrapText="1"/>
    </xf>
    <xf numFmtId="166" fontId="29" fillId="9" borderId="13" xfId="11" applyFont="1" applyFill="1" applyBorder="1" applyAlignment="1">
      <alignment horizontal="center" vertical="center"/>
    </xf>
    <xf numFmtId="166" fontId="28" fillId="9" borderId="13" xfId="11" applyFont="1" applyFill="1" applyBorder="1" applyAlignment="1">
      <alignment horizontal="center" vertical="center" wrapText="1"/>
    </xf>
    <xf numFmtId="0" fontId="30" fillId="0" borderId="13" xfId="10" applyFont="1" applyBorder="1" applyAlignment="1">
      <alignment horizontal="left"/>
    </xf>
    <xf numFmtId="0" fontId="30" fillId="0" borderId="13" xfId="11" applyNumberFormat="1" applyFont="1" applyBorder="1" applyAlignment="1">
      <alignment horizontal="center"/>
    </xf>
    <xf numFmtId="166" fontId="30" fillId="0" borderId="13" xfId="11" applyFont="1" applyBorder="1"/>
    <xf numFmtId="0" fontId="31" fillId="5" borderId="13" xfId="11" applyNumberFormat="1" applyFont="1" applyFill="1" applyBorder="1" applyAlignment="1">
      <alignment horizontal="center"/>
    </xf>
    <xf numFmtId="0" fontId="30" fillId="0" borderId="5" xfId="10" applyFont="1" applyBorder="1" applyAlignment="1">
      <alignment horizontal="left"/>
    </xf>
    <xf numFmtId="0" fontId="31" fillId="5" borderId="5" xfId="11" applyNumberFormat="1" applyFont="1" applyFill="1" applyBorder="1" applyAlignment="1">
      <alignment horizontal="center"/>
    </xf>
    <xf numFmtId="0" fontId="30" fillId="5" borderId="13" xfId="10" applyFont="1" applyFill="1" applyBorder="1" applyAlignment="1">
      <alignment horizontal="left"/>
    </xf>
    <xf numFmtId="166" fontId="28" fillId="0" borderId="0" xfId="11" applyFont="1" applyFill="1"/>
    <xf numFmtId="0" fontId="28" fillId="0" borderId="13" xfId="12" applyFont="1" applyBorder="1" applyAlignment="1">
      <alignment horizontal="center"/>
    </xf>
    <xf numFmtId="166" fontId="28" fillId="0" borderId="13" xfId="11" applyFont="1" applyBorder="1" applyAlignment="1">
      <alignment horizontal="center"/>
    </xf>
    <xf numFmtId="166" fontId="28" fillId="0" borderId="13" xfId="11" applyFont="1" applyFill="1" applyBorder="1" applyAlignment="1">
      <alignment horizontal="center"/>
    </xf>
    <xf numFmtId="0" fontId="30" fillId="0" borderId="0" xfId="12" applyFont="1"/>
    <xf numFmtId="166" fontId="30" fillId="0" borderId="13" xfId="11" applyFont="1" applyFill="1" applyBorder="1"/>
    <xf numFmtId="9" fontId="30" fillId="0" borderId="13" xfId="9" applyFont="1" applyBorder="1" applyAlignment="1">
      <alignment horizontal="center"/>
    </xf>
    <xf numFmtId="166" fontId="30" fillId="0" borderId="0" xfId="9" applyNumberFormat="1" applyFont="1"/>
    <xf numFmtId="0" fontId="30" fillId="0" borderId="13" xfId="12" applyFont="1" applyBorder="1" applyAlignment="1">
      <alignment horizontal="left"/>
    </xf>
    <xf numFmtId="0" fontId="35" fillId="6" borderId="13" xfId="11" applyNumberFormat="1" applyFont="1" applyFill="1" applyBorder="1" applyAlignment="1">
      <alignment horizontal="center"/>
    </xf>
    <xf numFmtId="43" fontId="13" fillId="0" borderId="13" xfId="12" applyNumberFormat="1" applyFont="1" applyBorder="1" applyAlignment="1">
      <alignment horizontal="center"/>
    </xf>
    <xf numFmtId="0" fontId="36" fillId="0" borderId="4" xfId="6" applyFont="1" applyBorder="1" applyAlignment="1" applyProtection="1">
      <alignment horizontal="left" shrinkToFit="1"/>
      <protection locked="0"/>
    </xf>
    <xf numFmtId="9" fontId="8" fillId="0" borderId="0" xfId="9" applyFont="1" applyAlignment="1" applyProtection="1">
      <alignment horizontal="center"/>
      <protection locked="0"/>
    </xf>
    <xf numFmtId="0" fontId="30" fillId="0" borderId="5" xfId="12" applyFont="1" applyBorder="1" applyAlignment="1">
      <alignment horizontal="left"/>
    </xf>
    <xf numFmtId="0" fontId="30" fillId="0" borderId="21" xfId="12" applyFont="1" applyBorder="1" applyAlignment="1">
      <alignment horizontal="left"/>
    </xf>
    <xf numFmtId="0" fontId="30" fillId="0" borderId="4" xfId="12" applyFont="1" applyBorder="1" applyAlignment="1">
      <alignment horizontal="left"/>
    </xf>
    <xf numFmtId="0" fontId="34" fillId="6" borderId="13" xfId="10" applyFont="1" applyFill="1" applyBorder="1" applyAlignment="1">
      <alignment horizontal="center"/>
    </xf>
    <xf numFmtId="166" fontId="13" fillId="0" borderId="13" xfId="12" applyNumberFormat="1" applyFont="1" applyBorder="1" applyAlignment="1">
      <alignment horizontal="center"/>
    </xf>
    <xf numFmtId="43" fontId="30" fillId="0" borderId="0" xfId="12" applyNumberFormat="1" applyFont="1"/>
    <xf numFmtId="0" fontId="22" fillId="0" borderId="12" xfId="12" applyFont="1" applyBorder="1" applyAlignment="1">
      <alignment horizontal="center"/>
    </xf>
    <xf numFmtId="9" fontId="22" fillId="0" borderId="19" xfId="9" applyFont="1" applyBorder="1" applyAlignment="1">
      <alignment horizontal="center"/>
    </xf>
    <xf numFmtId="0" fontId="4" fillId="0" borderId="7" xfId="0" applyFont="1" applyBorder="1" applyAlignment="1" applyProtection="1">
      <alignment horizontal="center"/>
      <protection locked="0"/>
    </xf>
    <xf numFmtId="166" fontId="42" fillId="0" borderId="8" xfId="1" applyFont="1" applyBorder="1" applyAlignment="1">
      <alignment horizontal="center"/>
    </xf>
    <xf numFmtId="0" fontId="4" fillId="0" borderId="10" xfId="0" applyFont="1" applyBorder="1" applyAlignment="1" applyProtection="1">
      <alignment horizontal="center"/>
      <protection locked="0"/>
    </xf>
    <xf numFmtId="0" fontId="4" fillId="0" borderId="0" xfId="0" applyFont="1" applyAlignment="1" applyProtection="1">
      <alignment horizontal="left"/>
      <protection locked="0"/>
    </xf>
    <xf numFmtId="14" fontId="4" fillId="0" borderId="4" xfId="0" applyNumberFormat="1" applyFont="1" applyBorder="1" applyAlignment="1" applyProtection="1">
      <alignment horizontal="center"/>
      <protection locked="0"/>
    </xf>
    <xf numFmtId="14" fontId="4" fillId="0" borderId="0" xfId="0" applyNumberFormat="1" applyFont="1" applyProtection="1">
      <protection locked="0"/>
    </xf>
    <xf numFmtId="166" fontId="42" fillId="0" borderId="4" xfId="1" applyFont="1" applyBorder="1" applyAlignment="1">
      <alignment horizontal="center"/>
    </xf>
    <xf numFmtId="0" fontId="2" fillId="0" borderId="0" xfId="3" applyFont="1" applyBorder="1" applyAlignment="1" applyProtection="1">
      <alignment horizontal="left"/>
      <protection locked="0"/>
    </xf>
    <xf numFmtId="0" fontId="6" fillId="0" borderId="0" xfId="4" applyFont="1" applyAlignment="1" applyProtection="1">
      <alignment horizontal="left" vertical="center"/>
      <protection locked="0"/>
    </xf>
    <xf numFmtId="4" fontId="4" fillId="0" borderId="0" xfId="1" applyNumberFormat="1" applyFont="1" applyAlignment="1" applyProtection="1">
      <alignment horizontal="center"/>
      <protection locked="0"/>
    </xf>
    <xf numFmtId="4" fontId="15" fillId="0" borderId="0" xfId="1" applyNumberFormat="1" applyFont="1" applyAlignment="1" applyProtection="1">
      <alignment horizontal="center"/>
      <protection locked="0"/>
    </xf>
    <xf numFmtId="0" fontId="19" fillId="4" borderId="27" xfId="8" applyFont="1" applyBorder="1" applyAlignment="1" applyProtection="1">
      <alignment horizontal="center" vertical="center" wrapText="1"/>
      <protection locked="0"/>
    </xf>
    <xf numFmtId="0" fontId="8" fillId="0" borderId="33" xfId="0" applyFont="1" applyBorder="1" applyAlignment="1" applyProtection="1">
      <alignment horizontal="centerContinuous"/>
      <protection locked="0"/>
    </xf>
    <xf numFmtId="0" fontId="8" fillId="0" borderId="34" xfId="0" applyFont="1" applyBorder="1" applyAlignment="1" applyProtection="1">
      <alignment horizontal="centerContinuous"/>
      <protection locked="0"/>
    </xf>
    <xf numFmtId="0" fontId="8" fillId="0" borderId="35" xfId="0" applyFont="1" applyBorder="1" applyAlignment="1" applyProtection="1">
      <alignment horizontal="centerContinuous"/>
      <protection locked="0"/>
    </xf>
    <xf numFmtId="0" fontId="8" fillId="0" borderId="35" xfId="0" applyFont="1" applyBorder="1" applyAlignment="1" applyProtection="1">
      <alignment horizontal="center"/>
      <protection locked="0"/>
    </xf>
    <xf numFmtId="166" fontId="8" fillId="0" borderId="35" xfId="0" applyNumberFormat="1" applyFont="1" applyBorder="1" applyAlignment="1" applyProtection="1">
      <alignment horizontal="centerContinuous"/>
      <protection locked="0"/>
    </xf>
    <xf numFmtId="0" fontId="43" fillId="16" borderId="37" xfId="0" applyFont="1" applyFill="1" applyBorder="1" applyAlignment="1">
      <alignment horizontal="center" wrapText="1"/>
    </xf>
    <xf numFmtId="0" fontId="44" fillId="0" borderId="0" xfId="0" applyFont="1"/>
    <xf numFmtId="0" fontId="3" fillId="0" borderId="0" xfId="0" applyFont="1"/>
    <xf numFmtId="166" fontId="4" fillId="0" borderId="8" xfId="1" applyFont="1" applyBorder="1" applyAlignment="1">
      <alignment horizontal="center"/>
    </xf>
    <xf numFmtId="166" fontId="4" fillId="0" borderId="4" xfId="1" applyFont="1" applyBorder="1" applyAlignment="1">
      <alignment horizontal="center"/>
    </xf>
    <xf numFmtId="0" fontId="10" fillId="0" borderId="4" xfId="6" applyFont="1" applyBorder="1" applyAlignment="1" applyProtection="1">
      <alignment horizontal="center" shrinkToFit="1"/>
      <protection locked="0"/>
    </xf>
    <xf numFmtId="166" fontId="10" fillId="0" borderId="4" xfId="1" applyFont="1" applyBorder="1" applyAlignment="1" applyProtection="1">
      <alignment horizontal="center" shrinkToFit="1"/>
      <protection locked="0"/>
    </xf>
    <xf numFmtId="0" fontId="10" fillId="0" borderId="4" xfId="1" applyNumberFormat="1" applyFont="1" applyBorder="1" applyAlignment="1" applyProtection="1">
      <alignment horizontal="center" shrinkToFit="1"/>
      <protection locked="0"/>
    </xf>
    <xf numFmtId="0" fontId="13" fillId="5" borderId="13" xfId="10" applyFont="1" applyFill="1" applyBorder="1" applyAlignment="1">
      <alignment horizontal="left"/>
    </xf>
    <xf numFmtId="166" fontId="10" fillId="0" borderId="7" xfId="1" applyFont="1" applyBorder="1" applyAlignment="1" applyProtection="1">
      <alignment horizontal="center" shrinkToFit="1"/>
      <protection locked="0"/>
    </xf>
    <xf numFmtId="43" fontId="4" fillId="5" borderId="7" xfId="1" applyNumberFormat="1" applyFont="1" applyFill="1" applyBorder="1" applyAlignment="1" applyProtection="1">
      <protection locked="0"/>
    </xf>
    <xf numFmtId="0" fontId="10" fillId="0" borderId="0" xfId="6" applyFont="1" applyBorder="1" applyAlignment="1" applyProtection="1">
      <protection locked="0"/>
    </xf>
    <xf numFmtId="0" fontId="41" fillId="5" borderId="28" xfId="6" applyFont="1" applyFill="1" applyBorder="1" applyAlignment="1" applyProtection="1">
      <alignment horizontal="center"/>
      <protection locked="0"/>
    </xf>
    <xf numFmtId="0" fontId="41" fillId="5" borderId="3" xfId="6" applyFont="1" applyFill="1" applyBorder="1" applyAlignment="1" applyProtection="1">
      <alignment horizontal="center"/>
      <protection locked="0"/>
    </xf>
    <xf numFmtId="4" fontId="4" fillId="0" borderId="10" xfId="1" applyNumberFormat="1" applyFont="1" applyBorder="1" applyAlignment="1" applyProtection="1">
      <protection locked="0"/>
    </xf>
    <xf numFmtId="4" fontId="4" fillId="0" borderId="4" xfId="1" applyNumberFormat="1" applyFont="1" applyBorder="1" applyAlignment="1" applyProtection="1">
      <protection locked="0"/>
    </xf>
    <xf numFmtId="0" fontId="41" fillId="5" borderId="29" xfId="6" applyFont="1" applyFill="1" applyBorder="1" applyAlignment="1" applyProtection="1">
      <alignment horizontal="center"/>
      <protection locked="0"/>
    </xf>
    <xf numFmtId="0" fontId="4" fillId="0" borderId="11" xfId="6" applyFont="1" applyBorder="1" applyAlignment="1" applyProtection="1">
      <alignment horizontal="center"/>
      <protection locked="0"/>
    </xf>
    <xf numFmtId="0" fontId="10" fillId="0" borderId="7" xfId="6" applyFont="1" applyBorder="1" applyAlignment="1" applyProtection="1">
      <alignment shrinkToFit="1"/>
      <protection locked="0"/>
    </xf>
    <xf numFmtId="0" fontId="41" fillId="5" borderId="9" xfId="6" applyFont="1" applyFill="1" applyBorder="1" applyAlignment="1" applyProtection="1">
      <alignment horizontal="center"/>
      <protection locked="0"/>
    </xf>
    <xf numFmtId="166" fontId="4" fillId="0" borderId="0" xfId="1" applyFont="1" applyAlignment="1" applyProtection="1">
      <protection locked="0"/>
    </xf>
    <xf numFmtId="4" fontId="10" fillId="0" borderId="10" xfId="1" applyNumberFormat="1" applyFont="1" applyBorder="1" applyAlignment="1" applyProtection="1">
      <protection locked="0"/>
    </xf>
    <xf numFmtId="4" fontId="10" fillId="0" borderId="4" xfId="1" applyNumberFormat="1" applyFont="1" applyBorder="1" applyAlignment="1" applyProtection="1">
      <protection locked="0"/>
    </xf>
    <xf numFmtId="166" fontId="28" fillId="0" borderId="38" xfId="11" applyFont="1" applyFill="1" applyBorder="1" applyAlignment="1">
      <alignment horizontal="center"/>
    </xf>
    <xf numFmtId="0" fontId="13" fillId="0" borderId="38" xfId="10" applyFont="1" applyBorder="1" applyAlignment="1">
      <alignment horizontal="left"/>
    </xf>
    <xf numFmtId="0" fontId="13" fillId="0" borderId="39" xfId="10" applyFont="1" applyBorder="1" applyAlignment="1">
      <alignment horizontal="left"/>
    </xf>
    <xf numFmtId="166" fontId="8" fillId="0" borderId="35" xfId="0" applyNumberFormat="1" applyFont="1" applyBorder="1" applyAlignment="1" applyProtection="1">
      <alignment horizontal="left"/>
      <protection locked="0"/>
    </xf>
    <xf numFmtId="43" fontId="45" fillId="0" borderId="0" xfId="10" applyNumberFormat="1" applyFont="1"/>
    <xf numFmtId="166" fontId="8" fillId="10" borderId="35" xfId="0" applyNumberFormat="1" applyFont="1" applyFill="1" applyBorder="1" applyAlignment="1" applyProtection="1">
      <alignment horizontal="centerContinuous"/>
      <protection locked="0"/>
    </xf>
    <xf numFmtId="0" fontId="4" fillId="0" borderId="10" xfId="6" applyFont="1" applyBorder="1" applyAlignment="1" applyProtection="1">
      <alignment shrinkToFit="1"/>
      <protection locked="0"/>
    </xf>
    <xf numFmtId="0" fontId="30" fillId="0" borderId="43" xfId="10" applyFont="1" applyBorder="1" applyAlignment="1">
      <alignment horizontal="left"/>
    </xf>
    <xf numFmtId="9" fontId="30" fillId="0" borderId="43" xfId="9" applyFont="1" applyBorder="1" applyAlignment="1">
      <alignment horizontal="center"/>
    </xf>
    <xf numFmtId="0" fontId="13" fillId="0" borderId="43" xfId="10" applyFont="1" applyBorder="1" applyAlignment="1">
      <alignment horizontal="left"/>
    </xf>
    <xf numFmtId="0" fontId="13" fillId="0" borderId="44" xfId="10" applyFont="1" applyBorder="1" applyAlignment="1">
      <alignment horizontal="left"/>
    </xf>
    <xf numFmtId="0" fontId="30" fillId="0" borderId="22" xfId="10" applyFont="1" applyBorder="1" applyAlignment="1">
      <alignment horizontal="left"/>
    </xf>
    <xf numFmtId="4" fontId="10" fillId="11" borderId="45" xfId="7" applyNumberFormat="1" applyFont="1" applyFill="1" applyBorder="1" applyAlignment="1" applyProtection="1">
      <alignment horizontal="center"/>
      <protection hidden="1"/>
    </xf>
    <xf numFmtId="0" fontId="4" fillId="0" borderId="47" xfId="0" applyFont="1" applyBorder="1" applyAlignment="1" applyProtection="1">
      <alignment horizontal="center"/>
      <protection locked="0"/>
    </xf>
    <xf numFmtId="14" fontId="4" fillId="0" borderId="0" xfId="0" applyNumberFormat="1" applyFont="1" applyAlignment="1" applyProtection="1">
      <alignment horizontal="center"/>
      <protection locked="0"/>
    </xf>
    <xf numFmtId="166" fontId="8" fillId="0" borderId="34" xfId="0" applyNumberFormat="1" applyFont="1" applyBorder="1" applyAlignment="1" applyProtection="1">
      <alignment horizontal="centerContinuous"/>
      <protection locked="0"/>
    </xf>
    <xf numFmtId="4" fontId="10" fillId="11" borderId="6" xfId="7" applyNumberFormat="1" applyFont="1" applyFill="1" applyBorder="1" applyAlignment="1" applyProtection="1">
      <alignment horizontal="center"/>
      <protection hidden="1"/>
    </xf>
    <xf numFmtId="4" fontId="10" fillId="11" borderId="10" xfId="7" applyNumberFormat="1" applyFont="1" applyFill="1" applyBorder="1" applyAlignment="1" applyProtection="1">
      <alignment horizontal="center"/>
      <protection hidden="1"/>
    </xf>
    <xf numFmtId="4" fontId="10" fillId="11" borderId="4" xfId="7" applyNumberFormat="1" applyFont="1" applyFill="1" applyBorder="1" applyAlignment="1" applyProtection="1">
      <alignment horizontal="center"/>
      <protection hidden="1"/>
    </xf>
    <xf numFmtId="4" fontId="4" fillId="11" borderId="10" xfId="7" applyNumberFormat="1" applyFont="1" applyFill="1" applyBorder="1" applyAlignment="1" applyProtection="1">
      <alignment horizontal="center"/>
      <protection hidden="1"/>
    </xf>
    <xf numFmtId="4" fontId="4" fillId="11" borderId="4" xfId="7" applyNumberFormat="1" applyFont="1" applyFill="1" applyBorder="1" applyAlignment="1" applyProtection="1">
      <alignment horizontal="center"/>
      <protection hidden="1"/>
    </xf>
    <xf numFmtId="166" fontId="8" fillId="0" borderId="35" xfId="0" applyNumberFormat="1" applyFont="1" applyBorder="1" applyAlignment="1" applyProtection="1">
      <alignment horizontal="center"/>
      <protection locked="0"/>
    </xf>
    <xf numFmtId="166" fontId="10" fillId="0" borderId="7" xfId="1" applyFont="1" applyFill="1" applyBorder="1" applyAlignment="1" applyProtection="1">
      <alignment horizontal="center" shrinkToFit="1"/>
      <protection locked="0"/>
    </xf>
    <xf numFmtId="0" fontId="30" fillId="0" borderId="43" xfId="12" applyFont="1" applyBorder="1" applyAlignment="1">
      <alignment horizontal="left"/>
    </xf>
    <xf numFmtId="0" fontId="46" fillId="0" borderId="0" xfId="0" applyFont="1" applyProtection="1">
      <protection locked="0"/>
    </xf>
    <xf numFmtId="166" fontId="6" fillId="0" borderId="0" xfId="1" applyFont="1" applyAlignment="1" applyProtection="1">
      <alignment horizontal="centerContinuous" vertical="center"/>
      <protection locked="0"/>
    </xf>
    <xf numFmtId="0" fontId="6" fillId="0" borderId="0" xfId="1" applyNumberFormat="1" applyFont="1" applyAlignment="1" applyProtection="1">
      <alignment horizontal="centerContinuous" vertical="center"/>
      <protection locked="0"/>
    </xf>
    <xf numFmtId="0" fontId="6" fillId="0" borderId="0" xfId="4" applyFont="1" applyAlignment="1" applyProtection="1">
      <alignment horizontal="center" vertical="center"/>
      <protection locked="0"/>
    </xf>
    <xf numFmtId="0" fontId="6" fillId="0" borderId="0" xfId="0" applyFont="1" applyAlignment="1" applyProtection="1">
      <alignment horizontal="center"/>
      <protection locked="0"/>
    </xf>
    <xf numFmtId="166" fontId="6" fillId="0" borderId="0" xfId="1" applyFont="1" applyAlignment="1" applyProtection="1">
      <alignment horizontal="center"/>
      <protection locked="0"/>
    </xf>
    <xf numFmtId="0" fontId="6" fillId="0" borderId="0" xfId="1" applyNumberFormat="1" applyFont="1" applyAlignment="1" applyProtection="1">
      <alignment horizontal="center"/>
      <protection locked="0"/>
    </xf>
    <xf numFmtId="4" fontId="6" fillId="0" borderId="0" xfId="1" applyNumberFormat="1" applyFont="1" applyAlignment="1" applyProtection="1">
      <alignment horizontal="center"/>
      <protection locked="0"/>
    </xf>
    <xf numFmtId="4" fontId="46" fillId="0" borderId="0" xfId="1" applyNumberFormat="1" applyFont="1" applyProtection="1">
      <protection locked="0"/>
    </xf>
    <xf numFmtId="0" fontId="46" fillId="0" borderId="0" xfId="1" applyNumberFormat="1" applyFont="1" applyAlignment="1" applyProtection="1">
      <alignment horizontal="center"/>
      <protection locked="0"/>
    </xf>
    <xf numFmtId="4" fontId="46" fillId="0" borderId="0" xfId="1" applyNumberFormat="1" applyFont="1" applyAlignment="1" applyProtection="1">
      <alignment horizontal="center"/>
      <protection locked="0"/>
    </xf>
    <xf numFmtId="0" fontId="46" fillId="0" borderId="0" xfId="1" applyNumberFormat="1" applyFont="1" applyProtection="1">
      <protection locked="0"/>
    </xf>
    <xf numFmtId="0" fontId="6" fillId="0" borderId="0" xfId="0" applyFont="1" applyAlignment="1" applyProtection="1">
      <alignment horizontal="left"/>
      <protection locked="0"/>
    </xf>
    <xf numFmtId="9" fontId="6" fillId="0" borderId="0" xfId="9" applyFont="1" applyAlignment="1" applyProtection="1">
      <alignment horizontal="center"/>
      <protection locked="0"/>
    </xf>
    <xf numFmtId="0" fontId="6" fillId="0" borderId="36" xfId="0" applyFont="1" applyBorder="1" applyProtection="1">
      <protection locked="0"/>
    </xf>
    <xf numFmtId="0" fontId="6" fillId="0" borderId="36" xfId="0" applyFont="1" applyBorder="1" applyAlignment="1" applyProtection="1">
      <alignment horizontal="center"/>
      <protection locked="0"/>
    </xf>
    <xf numFmtId="166" fontId="6" fillId="0" borderId="36" xfId="1" applyFont="1" applyBorder="1" applyAlignment="1" applyProtection="1">
      <alignment horizontal="center"/>
      <protection locked="0"/>
    </xf>
    <xf numFmtId="166" fontId="6" fillId="10" borderId="36" xfId="1" applyFont="1" applyFill="1" applyBorder="1" applyAlignment="1" applyProtection="1">
      <alignment horizontal="center"/>
      <protection locked="0"/>
    </xf>
    <xf numFmtId="4" fontId="6" fillId="0" borderId="0" xfId="1" applyNumberFormat="1" applyFont="1" applyProtection="1">
      <protection locked="0"/>
    </xf>
    <xf numFmtId="0" fontId="46" fillId="0" borderId="0" xfId="0" applyFont="1" applyAlignment="1" applyProtection="1">
      <alignment horizontal="center"/>
      <protection locked="0"/>
    </xf>
    <xf numFmtId="166" fontId="46" fillId="0" borderId="0" xfId="1" applyFont="1" applyAlignment="1" applyProtection="1">
      <alignment horizontal="center"/>
      <protection locked="0"/>
    </xf>
    <xf numFmtId="166" fontId="46" fillId="0" borderId="0" xfId="1" applyFont="1" applyProtection="1">
      <protection locked="0"/>
    </xf>
    <xf numFmtId="4" fontId="2" fillId="0" borderId="0" xfId="1" applyNumberFormat="1" applyFont="1" applyProtection="1">
      <protection locked="0"/>
    </xf>
    <xf numFmtId="166" fontId="2" fillId="0" borderId="0" xfId="1" applyFont="1" applyProtection="1">
      <protection locked="0"/>
    </xf>
    <xf numFmtId="4" fontId="2" fillId="0" borderId="0" xfId="1" applyNumberFormat="1" applyFont="1" applyAlignment="1" applyProtection="1">
      <alignment horizontal="center"/>
      <protection locked="0"/>
    </xf>
    <xf numFmtId="0" fontId="46" fillId="0" borderId="0" xfId="0" applyFont="1"/>
    <xf numFmtId="166" fontId="46" fillId="0" borderId="0" xfId="0" applyNumberFormat="1" applyFont="1" applyProtection="1">
      <protection locked="0"/>
    </xf>
    <xf numFmtId="166" fontId="46" fillId="0" borderId="0" xfId="0" applyNumberFormat="1" applyFont="1" applyAlignment="1" applyProtection="1">
      <alignment horizontal="center"/>
      <protection locked="0"/>
    </xf>
    <xf numFmtId="0" fontId="49" fillId="0" borderId="0" xfId="10" applyFont="1" applyAlignment="1">
      <alignment horizontal="left"/>
    </xf>
    <xf numFmtId="0" fontId="49" fillId="0" borderId="0" xfId="10" applyFont="1" applyAlignment="1">
      <alignment horizontal="centerContinuous"/>
    </xf>
    <xf numFmtId="166" fontId="49" fillId="0" borderId="0" xfId="11" applyFont="1" applyAlignment="1">
      <alignment horizontal="centerContinuous"/>
    </xf>
    <xf numFmtId="0" fontId="49" fillId="0" borderId="0" xfId="10" applyFont="1"/>
    <xf numFmtId="0" fontId="8" fillId="0" borderId="0" xfId="10" applyFont="1"/>
    <xf numFmtId="0" fontId="37" fillId="0" borderId="0" xfId="10" applyFont="1" applyAlignment="1">
      <alignment horizontal="left"/>
    </xf>
    <xf numFmtId="0" fontId="37" fillId="0" borderId="0" xfId="10" applyFont="1"/>
    <xf numFmtId="166" fontId="37" fillId="0" borderId="0" xfId="11" applyFont="1"/>
    <xf numFmtId="9" fontId="37" fillId="7" borderId="0" xfId="9" applyFont="1" applyFill="1" applyAlignment="1">
      <alignment horizontal="center"/>
    </xf>
    <xf numFmtId="166" fontId="50" fillId="0" borderId="0" xfId="11" applyFont="1" applyAlignment="1">
      <alignment horizontal="right"/>
    </xf>
    <xf numFmtId="166" fontId="8" fillId="0" borderId="0" xfId="11" applyFont="1"/>
    <xf numFmtId="0" fontId="47" fillId="4" borderId="3" xfId="8" applyFont="1" applyBorder="1" applyAlignment="1" applyProtection="1">
      <alignment horizontal="center" vertical="center" wrapText="1"/>
      <protection locked="0"/>
    </xf>
    <xf numFmtId="0" fontId="47" fillId="4" borderId="4" xfId="8" applyFont="1" applyBorder="1" applyAlignment="1" applyProtection="1">
      <alignment horizontal="center" vertical="center" wrapText="1"/>
      <protection locked="0"/>
    </xf>
    <xf numFmtId="0" fontId="47" fillId="4" borderId="27" xfId="8" applyFont="1" applyBorder="1" applyAlignment="1" applyProtection="1">
      <alignment horizontal="center" vertical="center" wrapText="1"/>
      <protection locked="0"/>
    </xf>
    <xf numFmtId="0" fontId="51" fillId="14" borderId="22" xfId="0" applyFont="1" applyFill="1" applyBorder="1" applyAlignment="1">
      <alignment horizontal="center" vertical="center" wrapText="1"/>
    </xf>
    <xf numFmtId="166" fontId="47" fillId="4" borderId="4" xfId="1" applyFont="1" applyFill="1" applyBorder="1" applyAlignment="1" applyProtection="1">
      <alignment horizontal="center" vertical="center" wrapText="1"/>
      <protection locked="0"/>
    </xf>
    <xf numFmtId="0" fontId="47" fillId="4" borderId="4" xfId="1" applyNumberFormat="1" applyFont="1" applyFill="1" applyBorder="1" applyAlignment="1" applyProtection="1">
      <alignment horizontal="center" vertical="center" wrapText="1"/>
      <protection locked="0"/>
    </xf>
    <xf numFmtId="166" fontId="47" fillId="12" borderId="4" xfId="1" applyFont="1" applyFill="1" applyBorder="1" applyAlignment="1" applyProtection="1">
      <alignment horizontal="center" vertical="center" wrapText="1"/>
      <protection locked="0"/>
    </xf>
    <xf numFmtId="4" fontId="47" fillId="12" borderId="4" xfId="8" applyNumberFormat="1" applyFont="1" applyFill="1" applyBorder="1" applyAlignment="1" applyProtection="1">
      <alignment horizontal="center" vertical="center" wrapText="1"/>
      <protection locked="0"/>
    </xf>
    <xf numFmtId="4" fontId="52" fillId="13" borderId="4" xfId="8" applyNumberFormat="1" applyFont="1" applyFill="1" applyBorder="1" applyAlignment="1" applyProtection="1">
      <alignment horizontal="center" vertical="center" wrapText="1"/>
      <protection hidden="1"/>
    </xf>
    <xf numFmtId="0" fontId="47" fillId="5" borderId="0" xfId="8" applyFont="1" applyFill="1" applyAlignment="1" applyProtection="1">
      <alignment horizontal="center" vertical="center" wrapText="1"/>
      <protection locked="0"/>
    </xf>
    <xf numFmtId="0" fontId="46" fillId="0" borderId="0" xfId="0" applyFont="1" applyAlignment="1" applyProtection="1">
      <alignment horizontal="center" vertical="center" wrapText="1"/>
      <protection locked="0"/>
    </xf>
    <xf numFmtId="0" fontId="10" fillId="0" borderId="11" xfId="6" applyFont="1" applyBorder="1" applyAlignment="1" applyProtection="1">
      <alignment horizontal="center" vertical="center"/>
      <protection locked="0"/>
    </xf>
    <xf numFmtId="166" fontId="10" fillId="0" borderId="7" xfId="1" applyFont="1" applyFill="1" applyBorder="1" applyAlignment="1" applyProtection="1">
      <alignment vertical="center" shrinkToFit="1"/>
      <protection locked="0"/>
    </xf>
    <xf numFmtId="166" fontId="10" fillId="0" borderId="6" xfId="1" applyFont="1" applyFill="1" applyBorder="1" applyAlignment="1" applyProtection="1">
      <alignment horizontal="center" vertical="center" shrinkToFit="1"/>
      <protection locked="0"/>
    </xf>
    <xf numFmtId="4" fontId="10" fillId="0" borderId="7" xfId="1" applyNumberFormat="1" applyFont="1" applyBorder="1" applyAlignment="1" applyProtection="1">
      <alignment vertical="center"/>
      <protection locked="0"/>
    </xf>
    <xf numFmtId="4" fontId="4" fillId="3" borderId="7" xfId="7" applyNumberFormat="1" applyFont="1" applyBorder="1" applyProtection="1">
      <protection hidden="1"/>
    </xf>
    <xf numFmtId="4" fontId="10" fillId="0" borderId="7" xfId="7" applyNumberFormat="1" applyFont="1" applyFill="1" applyBorder="1" applyAlignment="1" applyProtection="1">
      <alignment horizontal="center"/>
      <protection hidden="1"/>
    </xf>
    <xf numFmtId="0" fontId="10" fillId="0" borderId="0" xfId="6" applyFont="1" applyBorder="1" applyAlignment="1" applyProtection="1">
      <alignment vertical="center"/>
      <protection locked="0"/>
    </xf>
    <xf numFmtId="0" fontId="41" fillId="5" borderId="9" xfId="6" applyFont="1" applyFill="1" applyBorder="1" applyAlignment="1" applyProtection="1">
      <alignment horizontal="center" vertical="center"/>
      <protection locked="0"/>
    </xf>
    <xf numFmtId="0" fontId="41" fillId="11" borderId="9" xfId="6" applyFont="1" applyFill="1" applyBorder="1" applyAlignment="1" applyProtection="1">
      <alignment horizontal="center" vertical="center"/>
      <protection locked="0"/>
    </xf>
    <xf numFmtId="0" fontId="19" fillId="0" borderId="10" xfId="6" applyFont="1" applyFill="1" applyBorder="1" applyAlignment="1" applyProtection="1">
      <alignment vertical="center" shrinkToFit="1"/>
      <protection locked="0"/>
    </xf>
    <xf numFmtId="166" fontId="10" fillId="0" borderId="4" xfId="1" applyFont="1" applyFill="1" applyBorder="1" applyAlignment="1" applyProtection="1">
      <alignment vertical="center" shrinkToFit="1"/>
      <protection locked="0"/>
    </xf>
    <xf numFmtId="4" fontId="10" fillId="0" borderId="14" xfId="1" applyNumberFormat="1" applyFont="1" applyBorder="1" applyAlignment="1" applyProtection="1">
      <alignment vertical="center"/>
      <protection locked="0"/>
    </xf>
    <xf numFmtId="4" fontId="10" fillId="0" borderId="4" xfId="1" applyNumberFormat="1" applyFont="1" applyBorder="1" applyAlignment="1" applyProtection="1">
      <alignment vertical="center"/>
      <protection locked="0"/>
    </xf>
    <xf numFmtId="4" fontId="10" fillId="3" borderId="10" xfId="7" applyNumberFormat="1" applyFont="1" applyBorder="1" applyProtection="1">
      <protection hidden="1"/>
    </xf>
    <xf numFmtId="4" fontId="10" fillId="0" borderId="10" xfId="7" applyNumberFormat="1" applyFont="1" applyFill="1" applyBorder="1" applyAlignment="1" applyProtection="1">
      <alignment horizontal="center"/>
      <protection hidden="1"/>
    </xf>
    <xf numFmtId="0" fontId="41" fillId="5" borderId="3" xfId="6" applyFont="1" applyFill="1" applyBorder="1" applyAlignment="1" applyProtection="1">
      <alignment horizontal="center" vertical="center"/>
      <protection locked="0"/>
    </xf>
    <xf numFmtId="0" fontId="41" fillId="11" borderId="3" xfId="6" applyFont="1" applyFill="1" applyBorder="1" applyAlignment="1" applyProtection="1">
      <alignment horizontal="center" vertical="center"/>
      <protection locked="0"/>
    </xf>
    <xf numFmtId="0" fontId="36" fillId="0" borderId="4" xfId="6" applyFont="1" applyFill="1" applyBorder="1" applyAlignment="1" applyProtection="1">
      <alignment horizontal="left" vertical="center" shrinkToFit="1"/>
      <protection locked="0"/>
    </xf>
    <xf numFmtId="166" fontId="10" fillId="0" borderId="4" xfId="1" applyFont="1" applyFill="1" applyBorder="1" applyAlignment="1" applyProtection="1">
      <alignment horizontal="left" vertical="center" shrinkToFit="1"/>
      <protection locked="0"/>
    </xf>
    <xf numFmtId="4" fontId="10" fillId="3" borderId="15" xfId="7" applyNumberFormat="1" applyFont="1" applyBorder="1" applyProtection="1">
      <protection hidden="1"/>
    </xf>
    <xf numFmtId="4" fontId="10" fillId="0" borderId="4" xfId="7" applyNumberFormat="1" applyFont="1" applyFill="1" applyBorder="1" applyAlignment="1" applyProtection="1">
      <alignment horizontal="center"/>
      <protection hidden="1"/>
    </xf>
    <xf numFmtId="0" fontId="10" fillId="11" borderId="16" xfId="6" quotePrefix="1" applyFont="1" applyFill="1" applyBorder="1" applyAlignment="1" applyProtection="1">
      <alignment horizontal="center" vertical="center"/>
      <protection locked="0"/>
    </xf>
    <xf numFmtId="4" fontId="10" fillId="0" borderId="6" xfId="1" applyNumberFormat="1" applyFont="1" applyBorder="1" applyAlignment="1" applyProtection="1">
      <alignment vertical="center"/>
      <protection locked="0"/>
    </xf>
    <xf numFmtId="166" fontId="10" fillId="0" borderId="6" xfId="1" applyFont="1" applyBorder="1" applyAlignment="1" applyProtection="1">
      <alignment vertical="center" shrinkToFit="1"/>
      <protection locked="0"/>
    </xf>
    <xf numFmtId="0" fontId="4" fillId="0" borderId="6" xfId="0" applyFont="1" applyBorder="1" applyAlignment="1" applyProtection="1">
      <alignment horizontal="center"/>
      <protection locked="0"/>
    </xf>
    <xf numFmtId="4" fontId="10" fillId="0" borderId="6" xfId="7" applyNumberFormat="1" applyFont="1" applyFill="1" applyBorder="1" applyAlignment="1" applyProtection="1">
      <alignment horizontal="center"/>
      <protection hidden="1"/>
    </xf>
    <xf numFmtId="0" fontId="10" fillId="0" borderId="10" xfId="6" applyFont="1" applyFill="1" applyBorder="1" applyAlignment="1" applyProtection="1">
      <alignment vertical="center" shrinkToFit="1"/>
      <protection locked="0"/>
    </xf>
    <xf numFmtId="0" fontId="4" fillId="0" borderId="14" xfId="0" applyFont="1" applyBorder="1" applyAlignment="1" applyProtection="1">
      <alignment horizontal="center"/>
      <protection locked="0"/>
    </xf>
    <xf numFmtId="4" fontId="10" fillId="0" borderId="14" xfId="7" applyNumberFormat="1" applyFont="1" applyFill="1" applyBorder="1" applyAlignment="1" applyProtection="1">
      <alignment horizontal="center"/>
      <protection hidden="1"/>
    </xf>
    <xf numFmtId="0" fontId="4" fillId="0" borderId="4" xfId="0" applyFont="1" applyBorder="1" applyAlignment="1" applyProtection="1">
      <alignment horizontal="center"/>
      <protection locked="0"/>
    </xf>
    <xf numFmtId="0" fontId="10" fillId="0" borderId="16" xfId="6" applyFont="1" applyBorder="1" applyAlignment="1" applyProtection="1">
      <alignment horizontal="center" vertical="center"/>
      <protection locked="0"/>
    </xf>
    <xf numFmtId="0" fontId="41" fillId="5" borderId="17" xfId="6" applyFont="1" applyFill="1" applyBorder="1" applyAlignment="1" applyProtection="1">
      <alignment horizontal="center" vertical="center"/>
      <protection locked="0"/>
    </xf>
    <xf numFmtId="0" fontId="41" fillId="5" borderId="40" xfId="6" applyFont="1" applyFill="1" applyBorder="1" applyAlignment="1" applyProtection="1">
      <alignment horizontal="center" vertical="center"/>
      <protection locked="0"/>
    </xf>
    <xf numFmtId="0" fontId="53" fillId="0" borderId="0" xfId="0" applyFont="1" applyProtection="1">
      <protection locked="0"/>
    </xf>
    <xf numFmtId="166" fontId="10" fillId="0" borderId="7" xfId="1" applyFont="1" applyFill="1" applyBorder="1" applyAlignment="1" applyProtection="1">
      <alignment horizontal="center" vertical="center" shrinkToFit="1"/>
      <protection locked="0"/>
    </xf>
    <xf numFmtId="4" fontId="10" fillId="0" borderId="7" xfId="1" applyNumberFormat="1" applyFont="1" applyFill="1" applyBorder="1" applyAlignment="1" applyProtection="1">
      <alignment vertical="center"/>
      <protection locked="0"/>
    </xf>
    <xf numFmtId="4" fontId="10" fillId="0" borderId="6" xfId="1" applyNumberFormat="1" applyFont="1" applyFill="1" applyBorder="1" applyAlignment="1" applyProtection="1">
      <alignment vertical="center"/>
      <protection locked="0"/>
    </xf>
    <xf numFmtId="0" fontId="8" fillId="11" borderId="3" xfId="6" applyFont="1" applyFill="1" applyBorder="1" applyAlignment="1" applyProtection="1">
      <alignment horizontal="center" vertical="center"/>
      <protection locked="0"/>
    </xf>
    <xf numFmtId="166" fontId="36" fillId="0" borderId="4" xfId="1" applyFont="1" applyBorder="1" applyAlignment="1" applyProtection="1">
      <alignment horizontal="center" vertical="center" shrinkToFit="1"/>
      <protection locked="0"/>
    </xf>
    <xf numFmtId="0" fontId="41" fillId="11" borderId="42" xfId="6" applyFont="1" applyFill="1" applyBorder="1" applyAlignment="1" applyProtection="1">
      <alignment horizontal="center" vertical="center"/>
      <protection locked="0"/>
    </xf>
    <xf numFmtId="0" fontId="36" fillId="0" borderId="41" xfId="6" applyFont="1" applyBorder="1" applyAlignment="1" applyProtection="1">
      <alignment horizontal="left" vertical="center" shrinkToFit="1"/>
      <protection locked="0"/>
    </xf>
    <xf numFmtId="166" fontId="4" fillId="0" borderId="41" xfId="1" applyFont="1" applyBorder="1" applyAlignment="1" applyProtection="1">
      <alignment horizontal="center" shrinkToFit="1"/>
      <protection locked="0"/>
    </xf>
    <xf numFmtId="0" fontId="38" fillId="11" borderId="3" xfId="6" applyFont="1" applyFill="1" applyBorder="1" applyAlignment="1" applyProtection="1">
      <alignment horizontal="center" vertical="center"/>
      <protection locked="0"/>
    </xf>
    <xf numFmtId="17" fontId="10" fillId="0" borderId="4" xfId="1" applyNumberFormat="1" applyFont="1" applyBorder="1" applyAlignment="1" applyProtection="1">
      <alignment horizontal="center" vertical="center" shrinkToFit="1"/>
      <protection locked="0"/>
    </xf>
    <xf numFmtId="0" fontId="8" fillId="5" borderId="3" xfId="6" applyFont="1" applyFill="1" applyBorder="1" applyAlignment="1" applyProtection="1">
      <alignment horizontal="center" vertical="center"/>
      <protection locked="0"/>
    </xf>
    <xf numFmtId="0" fontId="41" fillId="5" borderId="42" xfId="6" applyFont="1" applyFill="1" applyBorder="1" applyAlignment="1" applyProtection="1">
      <alignment horizontal="center" vertical="center"/>
      <protection locked="0"/>
    </xf>
    <xf numFmtId="49" fontId="10" fillId="0" borderId="16" xfId="6" quotePrefix="1" applyNumberFormat="1" applyFont="1" applyBorder="1" applyAlignment="1" applyProtection="1">
      <alignment horizontal="center" vertical="center"/>
      <protection locked="0"/>
    </xf>
    <xf numFmtId="0" fontId="10" fillId="0" borderId="16" xfId="6" quotePrefix="1" applyFont="1" applyBorder="1" applyAlignment="1" applyProtection="1">
      <alignment horizontal="center" vertical="center"/>
      <protection locked="0"/>
    </xf>
    <xf numFmtId="0" fontId="22" fillId="0" borderId="52" xfId="12" applyFont="1" applyBorder="1" applyAlignment="1">
      <alignment horizontal="center"/>
    </xf>
    <xf numFmtId="0" fontId="13" fillId="0" borderId="52" xfId="12" applyFont="1" applyBorder="1" applyAlignment="1">
      <alignment horizontal="center"/>
    </xf>
    <xf numFmtId="9" fontId="13" fillId="0" borderId="52" xfId="9" applyFont="1" applyBorder="1" applyAlignment="1">
      <alignment horizontal="center"/>
    </xf>
    <xf numFmtId="166" fontId="13" fillId="0" borderId="52" xfId="12" applyNumberFormat="1" applyFont="1" applyBorder="1" applyAlignment="1">
      <alignment horizontal="center"/>
    </xf>
    <xf numFmtId="0" fontId="30" fillId="0" borderId="5" xfId="10" applyFont="1" applyBorder="1" applyAlignment="1">
      <alignment wrapText="1"/>
    </xf>
    <xf numFmtId="0" fontId="30" fillId="5" borderId="5" xfId="10" applyFont="1" applyFill="1" applyBorder="1" applyAlignment="1">
      <alignment horizontal="center"/>
    </xf>
    <xf numFmtId="166" fontId="30" fillId="0" borderId="13" xfId="11" applyFont="1" applyBorder="1" applyAlignment="1"/>
    <xf numFmtId="166" fontId="31" fillId="8" borderId="13" xfId="11" applyFont="1" applyFill="1" applyBorder="1" applyAlignment="1"/>
    <xf numFmtId="166" fontId="30" fillId="5" borderId="13" xfId="11" applyFont="1" applyFill="1" applyBorder="1" applyAlignment="1"/>
    <xf numFmtId="0" fontId="45" fillId="0" borderId="0" xfId="10" applyFont="1" applyAlignment="1"/>
    <xf numFmtId="0" fontId="22" fillId="0" borderId="0" xfId="10" applyFont="1" applyAlignment="1"/>
    <xf numFmtId="49" fontId="25" fillId="0" borderId="0" xfId="10" applyNumberFormat="1" applyFont="1" applyAlignment="1"/>
    <xf numFmtId="0" fontId="30" fillId="0" borderId="4" xfId="10" applyFont="1" applyBorder="1" applyAlignment="1"/>
    <xf numFmtId="0" fontId="30" fillId="5" borderId="4" xfId="10" applyFont="1" applyFill="1" applyBorder="1" applyAlignment="1">
      <alignment horizontal="center"/>
    </xf>
    <xf numFmtId="166" fontId="30" fillId="0" borderId="13" xfId="11" applyFont="1" applyFill="1" applyBorder="1" applyAlignment="1"/>
    <xf numFmtId="43" fontId="26" fillId="0" borderId="0" xfId="10" applyNumberFormat="1" applyFont="1" applyAlignment="1"/>
    <xf numFmtId="43" fontId="22" fillId="0" borderId="0" xfId="10" applyNumberFormat="1" applyFont="1" applyAlignment="1"/>
    <xf numFmtId="0" fontId="30" fillId="0" borderId="4" xfId="10" applyFont="1" applyBorder="1" applyAlignment="1">
      <alignment horizontal="right"/>
    </xf>
    <xf numFmtId="0" fontId="30" fillId="0" borderId="21" xfId="10" applyFont="1" applyBorder="1" applyAlignment="1">
      <alignment horizontal="right"/>
    </xf>
    <xf numFmtId="0" fontId="30" fillId="5" borderId="21" xfId="10" applyFont="1" applyFill="1" applyBorder="1" applyAlignment="1">
      <alignment horizontal="center"/>
    </xf>
    <xf numFmtId="0" fontId="30" fillId="5" borderId="5" xfId="10" applyFont="1" applyFill="1" applyBorder="1" applyAlignment="1"/>
    <xf numFmtId="166" fontId="31" fillId="5" borderId="13" xfId="11" applyFont="1" applyFill="1" applyBorder="1" applyAlignment="1"/>
    <xf numFmtId="43" fontId="25" fillId="0" borderId="0" xfId="10" applyNumberFormat="1" applyFont="1" applyAlignment="1"/>
    <xf numFmtId="0" fontId="22" fillId="0" borderId="18" xfId="10" applyFont="1" applyBorder="1" applyAlignment="1"/>
    <xf numFmtId="0" fontId="30" fillId="5" borderId="4" xfId="10" applyFont="1" applyFill="1" applyBorder="1" applyAlignment="1"/>
    <xf numFmtId="164" fontId="13" fillId="5" borderId="4" xfId="10" applyNumberFormat="1" applyFont="1" applyFill="1" applyBorder="1" applyAlignment="1">
      <alignment horizontal="center"/>
    </xf>
    <xf numFmtId="0" fontId="22" fillId="0" borderId="0" xfId="10" applyFont="1" applyBorder="1" applyAlignment="1"/>
    <xf numFmtId="164" fontId="13" fillId="5" borderId="21" xfId="10" applyNumberFormat="1" applyFont="1" applyFill="1" applyBorder="1" applyAlignment="1">
      <alignment horizontal="center"/>
    </xf>
    <xf numFmtId="0" fontId="30" fillId="5" borderId="5" xfId="10" applyFont="1" applyFill="1" applyBorder="1" applyAlignment="1">
      <alignment wrapText="1"/>
    </xf>
    <xf numFmtId="0" fontId="30" fillId="5" borderId="13" xfId="10" applyFont="1" applyFill="1" applyBorder="1" applyAlignment="1">
      <alignment horizontal="left" wrapText="1"/>
    </xf>
    <xf numFmtId="166" fontId="22" fillId="0" borderId="0" xfId="10" applyNumberFormat="1" applyFont="1" applyAlignment="1"/>
    <xf numFmtId="0" fontId="30" fillId="5" borderId="4" xfId="10" applyFont="1" applyFill="1" applyBorder="1" applyAlignment="1">
      <alignment wrapText="1"/>
    </xf>
    <xf numFmtId="0" fontId="30" fillId="5" borderId="21" xfId="10" applyFont="1" applyFill="1" applyBorder="1" applyAlignment="1">
      <alignment horizontal="right" wrapText="1"/>
    </xf>
    <xf numFmtId="0" fontId="33" fillId="6" borderId="13" xfId="10" applyFont="1" applyFill="1" applyBorder="1" applyAlignment="1"/>
    <xf numFmtId="166" fontId="35" fillId="6" borderId="12" xfId="11" applyFont="1" applyFill="1" applyBorder="1" applyAlignment="1"/>
    <xf numFmtId="166" fontId="34" fillId="10" borderId="13" xfId="11" applyFont="1" applyFill="1" applyBorder="1" applyAlignment="1"/>
    <xf numFmtId="0" fontId="28" fillId="0" borderId="0" xfId="10" applyFont="1" applyAlignment="1"/>
    <xf numFmtId="166" fontId="28" fillId="0" borderId="0" xfId="11" applyFont="1" applyAlignment="1"/>
    <xf numFmtId="166" fontId="28" fillId="0" borderId="0" xfId="11" applyFont="1" applyFill="1" applyAlignment="1"/>
    <xf numFmtId="0" fontId="32" fillId="0" borderId="13" xfId="12" applyFont="1" applyBorder="1"/>
    <xf numFmtId="166" fontId="13" fillId="0" borderId="13" xfId="9" applyNumberFormat="1" applyFont="1" applyBorder="1" applyAlignment="1">
      <alignment horizontal="center"/>
    </xf>
    <xf numFmtId="166" fontId="13" fillId="0" borderId="13" xfId="11" applyFont="1" applyBorder="1" applyAlignment="1"/>
    <xf numFmtId="166" fontId="13" fillId="0" borderId="13" xfId="11" applyFont="1" applyFill="1" applyBorder="1" applyAlignment="1"/>
    <xf numFmtId="166" fontId="13" fillId="0" borderId="13" xfId="9" applyNumberFormat="1" applyFont="1" applyFill="1" applyBorder="1" applyAlignment="1">
      <alignment horizontal="center"/>
    </xf>
    <xf numFmtId="0" fontId="32" fillId="0" borderId="38" xfId="12" applyFont="1" applyBorder="1"/>
    <xf numFmtId="0" fontId="32" fillId="0" borderId="43" xfId="12" applyFont="1" applyBorder="1"/>
    <xf numFmtId="166" fontId="13" fillId="0" borderId="13" xfId="9" applyNumberFormat="1" applyFont="1" applyBorder="1" applyAlignment="1"/>
    <xf numFmtId="166" fontId="13" fillId="0" borderId="0" xfId="12" applyNumberFormat="1" applyFont="1"/>
    <xf numFmtId="0" fontId="39" fillId="0" borderId="19" xfId="12" applyFont="1" applyBorder="1"/>
    <xf numFmtId="166" fontId="22" fillId="0" borderId="19" xfId="9" applyNumberFormat="1" applyFont="1" applyBorder="1" applyAlignment="1">
      <alignment horizontal="center"/>
    </xf>
    <xf numFmtId="166" fontId="22" fillId="0" borderId="20" xfId="11" applyFont="1" applyBorder="1" applyAlignment="1"/>
    <xf numFmtId="166" fontId="22" fillId="10" borderId="13" xfId="11" applyFont="1" applyFill="1" applyBorder="1" applyAlignment="1"/>
    <xf numFmtId="0" fontId="22" fillId="0" borderId="13" xfId="12" applyFont="1" applyBorder="1"/>
    <xf numFmtId="166" fontId="22" fillId="10" borderId="13" xfId="12" applyNumberFormat="1" applyFont="1" applyFill="1" applyBorder="1"/>
    <xf numFmtId="0" fontId="22" fillId="0" borderId="0" xfId="12" applyFont="1"/>
    <xf numFmtId="166" fontId="13" fillId="0" borderId="0" xfId="11" applyFont="1" applyBorder="1" applyAlignment="1"/>
    <xf numFmtId="166" fontId="22" fillId="0" borderId="0" xfId="11" applyFont="1" applyFill="1" applyBorder="1" applyAlignment="1"/>
    <xf numFmtId="166" fontId="13" fillId="11" borderId="0" xfId="11" applyFont="1" applyFill="1" applyAlignment="1"/>
    <xf numFmtId="166" fontId="22" fillId="0" borderId="0" xfId="11" applyFont="1" applyAlignment="1"/>
    <xf numFmtId="166" fontId="13" fillId="0" borderId="0" xfId="11" applyFont="1" applyAlignment="1"/>
    <xf numFmtId="166" fontId="30" fillId="0" borderId="0" xfId="9" applyNumberFormat="1" applyFont="1" applyAlignment="1"/>
    <xf numFmtId="166" fontId="30" fillId="11" borderId="13" xfId="11" applyFont="1" applyFill="1" applyBorder="1" applyAlignment="1"/>
    <xf numFmtId="166" fontId="22" fillId="10" borderId="0" xfId="11" applyFont="1" applyFill="1" applyBorder="1" applyAlignment="1"/>
    <xf numFmtId="0" fontId="30" fillId="0" borderId="53" xfId="10" applyFont="1" applyBorder="1" applyAlignment="1">
      <alignment horizontal="left"/>
    </xf>
    <xf numFmtId="9" fontId="30" fillId="0" borderId="52" xfId="9" applyFont="1" applyBorder="1" applyAlignment="1">
      <alignment horizontal="center"/>
    </xf>
    <xf numFmtId="0" fontId="32" fillId="0" borderId="52" xfId="12" applyFont="1" applyBorder="1"/>
    <xf numFmtId="0" fontId="13" fillId="0" borderId="54" xfId="10" applyFont="1" applyBorder="1" applyAlignment="1">
      <alignment horizontal="left"/>
    </xf>
    <xf numFmtId="0" fontId="13" fillId="0" borderId="55" xfId="10" applyFont="1" applyBorder="1" applyAlignment="1">
      <alignment horizontal="left"/>
    </xf>
    <xf numFmtId="9" fontId="54" fillId="17" borderId="0" xfId="0" applyNumberFormat="1" applyFont="1" applyFill="1" applyAlignment="1">
      <alignment horizontal="center"/>
    </xf>
    <xf numFmtId="9" fontId="30" fillId="0" borderId="54" xfId="9" applyFont="1" applyBorder="1" applyAlignment="1">
      <alignment horizontal="center"/>
    </xf>
    <xf numFmtId="166" fontId="13" fillId="0" borderId="54" xfId="12" applyNumberFormat="1" applyFont="1" applyBorder="1" applyAlignment="1">
      <alignment horizontal="center"/>
    </xf>
    <xf numFmtId="0" fontId="13" fillId="0" borderId="51" xfId="12" applyFont="1" applyBorder="1" applyAlignment="1">
      <alignment horizontal="center"/>
    </xf>
    <xf numFmtId="0" fontId="30" fillId="0" borderId="54" xfId="12" applyFont="1" applyBorder="1" applyAlignment="1">
      <alignment horizontal="left"/>
    </xf>
    <xf numFmtId="0" fontId="32" fillId="0" borderId="54" xfId="12" applyFont="1" applyBorder="1"/>
    <xf numFmtId="43" fontId="13" fillId="0" borderId="54" xfId="12" applyNumberFormat="1" applyFont="1" applyBorder="1" applyAlignment="1">
      <alignment horizontal="center"/>
    </xf>
    <xf numFmtId="0" fontId="13" fillId="0" borderId="54" xfId="12" applyFont="1" applyBorder="1" applyAlignment="1">
      <alignment horizontal="center"/>
    </xf>
    <xf numFmtId="9" fontId="13" fillId="0" borderId="54" xfId="9" applyFont="1" applyBorder="1" applyAlignment="1">
      <alignment horizontal="center"/>
    </xf>
    <xf numFmtId="0" fontId="4" fillId="0" borderId="0" xfId="12" applyFont="1" applyAlignment="1">
      <alignment vertical="center"/>
    </xf>
    <xf numFmtId="166" fontId="4" fillId="0" borderId="10" xfId="1" applyFont="1" applyBorder="1" applyAlignment="1" applyProtection="1">
      <alignment horizontal="left" shrinkToFit="1"/>
      <protection locked="0"/>
    </xf>
    <xf numFmtId="0" fontId="4" fillId="0" borderId="48" xfId="0" applyFont="1" applyBorder="1" applyAlignment="1" applyProtection="1">
      <alignment horizontal="center"/>
      <protection locked="0"/>
    </xf>
    <xf numFmtId="4" fontId="10" fillId="11" borderId="14" xfId="7" applyNumberFormat="1" applyFont="1" applyFill="1" applyBorder="1" applyAlignment="1" applyProtection="1">
      <alignment horizontal="center"/>
      <protection hidden="1"/>
    </xf>
    <xf numFmtId="0" fontId="4" fillId="0" borderId="49" xfId="0" applyFont="1" applyBorder="1" applyAlignment="1" applyProtection="1">
      <alignment horizontal="center"/>
      <protection locked="0"/>
    </xf>
    <xf numFmtId="0" fontId="4" fillId="0" borderId="15" xfId="0" applyFont="1" applyBorder="1" applyAlignment="1" applyProtection="1">
      <alignment horizontal="center"/>
      <protection locked="0"/>
    </xf>
    <xf numFmtId="4" fontId="10" fillId="0" borderId="15" xfId="7" applyNumberFormat="1" applyFont="1" applyFill="1" applyBorder="1" applyAlignment="1" applyProtection="1">
      <alignment horizontal="center"/>
      <protection hidden="1"/>
    </xf>
    <xf numFmtId="0" fontId="4" fillId="0" borderId="50" xfId="0" applyFont="1" applyBorder="1" applyAlignment="1" applyProtection="1">
      <alignment horizontal="center"/>
      <protection locked="0"/>
    </xf>
    <xf numFmtId="166" fontId="13" fillId="18" borderId="13" xfId="1" applyFont="1" applyFill="1" applyBorder="1" applyAlignment="1"/>
    <xf numFmtId="166" fontId="22" fillId="10" borderId="0" xfId="11" applyFont="1" applyFill="1" applyBorder="1"/>
    <xf numFmtId="0" fontId="8" fillId="19" borderId="13" xfId="12" applyFont="1" applyFill="1" applyBorder="1" applyAlignment="1">
      <alignment horizontal="center" vertical="center"/>
    </xf>
    <xf numFmtId="166" fontId="8" fillId="19" borderId="13" xfId="11" applyFont="1" applyFill="1" applyBorder="1" applyAlignment="1">
      <alignment horizontal="center" vertical="center"/>
    </xf>
    <xf numFmtId="0" fontId="8" fillId="19" borderId="52" xfId="12" applyFont="1" applyFill="1" applyBorder="1" applyAlignment="1">
      <alignment horizontal="center" vertical="center"/>
    </xf>
    <xf numFmtId="0" fontId="37" fillId="19" borderId="12" xfId="12" applyFont="1" applyFill="1" applyBorder="1"/>
    <xf numFmtId="0" fontId="37" fillId="19" borderId="19" xfId="12" applyFont="1" applyFill="1" applyBorder="1"/>
    <xf numFmtId="0" fontId="37" fillId="19" borderId="20" xfId="12" applyFont="1" applyFill="1" applyBorder="1"/>
    <xf numFmtId="0" fontId="8" fillId="19" borderId="54" xfId="12" applyFont="1" applyFill="1" applyBorder="1" applyAlignment="1">
      <alignment horizontal="center" vertical="center"/>
    </xf>
    <xf numFmtId="166" fontId="8" fillId="19" borderId="54" xfId="11" applyFont="1" applyFill="1" applyBorder="1" applyAlignment="1">
      <alignment horizontal="center" vertical="center"/>
    </xf>
    <xf numFmtId="0" fontId="8" fillId="19" borderId="54" xfId="12" applyFont="1" applyFill="1" applyBorder="1" applyAlignment="1">
      <alignment horizontal="center" vertical="center" wrapText="1"/>
    </xf>
    <xf numFmtId="0" fontId="8" fillId="19" borderId="51" xfId="12" applyFont="1" applyFill="1" applyBorder="1" applyAlignment="1">
      <alignment horizontal="center" vertical="center"/>
    </xf>
    <xf numFmtId="166" fontId="4" fillId="0" borderId="4" xfId="1" applyFont="1" applyFill="1" applyBorder="1" applyAlignment="1">
      <alignment horizontal="center"/>
    </xf>
    <xf numFmtId="166" fontId="10" fillId="0" borderId="4" xfId="1" applyFont="1" applyFill="1" applyBorder="1" applyAlignment="1" applyProtection="1">
      <alignment horizontal="center" vertical="center" shrinkToFit="1"/>
      <protection locked="0"/>
    </xf>
    <xf numFmtId="166" fontId="47" fillId="20" borderId="4" xfId="1" applyFont="1" applyFill="1" applyBorder="1" applyAlignment="1" applyProtection="1">
      <alignment horizontal="center" vertical="center" wrapText="1"/>
      <protection locked="0"/>
    </xf>
    <xf numFmtId="0" fontId="48" fillId="4" borderId="4" xfId="8" applyFont="1" applyBorder="1" applyAlignment="1" applyProtection="1">
      <alignment horizontal="center" vertical="center" wrapText="1"/>
      <protection locked="0"/>
    </xf>
    <xf numFmtId="0" fontId="51" fillId="21" borderId="22" xfId="0" applyFont="1" applyFill="1" applyBorder="1" applyAlignment="1">
      <alignment horizontal="center" vertical="center" wrapText="1"/>
    </xf>
    <xf numFmtId="17" fontId="10" fillId="0" borderId="7" xfId="1" quotePrefix="1" applyNumberFormat="1" applyFont="1" applyBorder="1" applyAlignment="1" applyProtection="1">
      <alignment horizontal="center" vertical="center" shrinkToFit="1"/>
      <protection locked="0"/>
    </xf>
    <xf numFmtId="0" fontId="55" fillId="0" borderId="10" xfId="0" applyFont="1" applyBorder="1" applyAlignment="1" applyProtection="1">
      <alignment horizontal="center"/>
      <protection locked="0"/>
    </xf>
    <xf numFmtId="0" fontId="55" fillId="0" borderId="14" xfId="0" applyFont="1" applyBorder="1" applyAlignment="1" applyProtection="1">
      <alignment horizontal="center"/>
      <protection locked="0"/>
    </xf>
    <xf numFmtId="166" fontId="10" fillId="0" borderId="6" xfId="1" applyFont="1" applyBorder="1" applyAlignment="1" applyProtection="1">
      <alignment shrinkToFit="1"/>
      <protection locked="0"/>
    </xf>
    <xf numFmtId="0" fontId="10" fillId="12" borderId="27" xfId="1" applyNumberFormat="1" applyFont="1" applyFill="1" applyBorder="1" applyAlignment="1" applyProtection="1">
      <alignment horizontal="center" vertical="center" wrapText="1"/>
      <protection locked="0"/>
    </xf>
    <xf numFmtId="17" fontId="10" fillId="0" borderId="7" xfId="1" quotePrefix="1" applyNumberFormat="1" applyFont="1" applyBorder="1" applyAlignment="1" applyProtection="1">
      <alignment horizontal="center" shrinkToFit="1"/>
      <protection locked="0"/>
    </xf>
    <xf numFmtId="166" fontId="13" fillId="0" borderId="54" xfId="9" applyNumberFormat="1" applyFont="1" applyBorder="1" applyAlignment="1">
      <alignment horizontal="center"/>
    </xf>
    <xf numFmtId="166" fontId="13" fillId="0" borderId="54" xfId="11" applyFont="1" applyBorder="1" applyAlignment="1"/>
    <xf numFmtId="166" fontId="13" fillId="0" borderId="54" xfId="11" applyFont="1" applyFill="1" applyBorder="1" applyAlignment="1"/>
    <xf numFmtId="166" fontId="13" fillId="0" borderId="54" xfId="1" applyFont="1" applyBorder="1" applyAlignment="1"/>
    <xf numFmtId="166" fontId="13" fillId="0" borderId="54" xfId="12" applyNumberFormat="1" applyFont="1" applyBorder="1"/>
    <xf numFmtId="166" fontId="13" fillId="18" borderId="54" xfId="9" applyNumberFormat="1" applyFont="1" applyFill="1" applyBorder="1" applyAlignment="1"/>
    <xf numFmtId="166" fontId="13" fillId="0" borderId="54" xfId="9" applyNumberFormat="1" applyFont="1" applyFill="1" applyBorder="1" applyAlignment="1">
      <alignment horizontal="center"/>
    </xf>
    <xf numFmtId="0" fontId="23" fillId="0" borderId="54" xfId="12" applyFont="1" applyBorder="1"/>
    <xf numFmtId="10" fontId="13" fillId="0" borderId="54" xfId="9" applyNumberFormat="1" applyFont="1" applyBorder="1" applyAlignment="1">
      <alignment horizontal="center"/>
    </xf>
    <xf numFmtId="166" fontId="22" fillId="0" borderId="54" xfId="11" applyFont="1" applyFill="1" applyBorder="1" applyAlignment="1"/>
    <xf numFmtId="166" fontId="22" fillId="10" borderId="54" xfId="11" applyFont="1" applyFill="1" applyBorder="1" applyAlignment="1"/>
    <xf numFmtId="0" fontId="13" fillId="0" borderId="54" xfId="12" applyFont="1" applyBorder="1"/>
    <xf numFmtId="0" fontId="55" fillId="0" borderId="4" xfId="6" applyFont="1" applyBorder="1" applyAlignment="1" applyProtection="1">
      <alignment horizontal="left" vertical="center" shrinkToFit="1"/>
      <protection locked="0"/>
    </xf>
    <xf numFmtId="166" fontId="10" fillId="0" borderId="6" xfId="1" applyFont="1" applyBorder="1" applyAlignment="1" applyProtection="1">
      <alignment horizontal="right" wrapText="1" shrinkToFit="1"/>
      <protection locked="0"/>
    </xf>
    <xf numFmtId="164" fontId="56" fillId="5" borderId="5" xfId="10" applyNumberFormat="1" applyFont="1" applyFill="1" applyBorder="1" applyAlignment="1">
      <alignment horizontal="center" wrapText="1"/>
    </xf>
    <xf numFmtId="0" fontId="36" fillId="0" borderId="4" xfId="6" applyFont="1" applyBorder="1" applyAlignment="1" applyProtection="1">
      <alignment horizontal="left" wrapText="1" shrinkToFit="1"/>
      <protection locked="0"/>
    </xf>
    <xf numFmtId="166" fontId="10" fillId="0" borderId="7" xfId="1" applyFont="1" applyBorder="1" applyAlignment="1" applyProtection="1">
      <alignment shrinkToFit="1"/>
      <protection locked="0"/>
    </xf>
    <xf numFmtId="4" fontId="10" fillId="3" borderId="6" xfId="7" applyNumberFormat="1" applyFont="1" applyBorder="1" applyAlignment="1" applyProtection="1">
      <protection hidden="1"/>
    </xf>
    <xf numFmtId="4" fontId="10" fillId="3" borderId="10" xfId="7" applyNumberFormat="1" applyFont="1" applyBorder="1" applyAlignment="1" applyProtection="1">
      <protection hidden="1"/>
    </xf>
    <xf numFmtId="4" fontId="10" fillId="3" borderId="4" xfId="7" applyNumberFormat="1" applyFont="1" applyBorder="1" applyAlignment="1" applyProtection="1">
      <protection hidden="1"/>
    </xf>
    <xf numFmtId="0" fontId="10" fillId="0" borderId="30" xfId="6" applyFont="1" applyBorder="1" applyAlignment="1" applyProtection="1">
      <alignment horizontal="center"/>
      <protection locked="0"/>
    </xf>
    <xf numFmtId="0" fontId="10" fillId="0" borderId="11" xfId="6" applyFont="1" applyBorder="1" applyAlignment="1" applyProtection="1">
      <alignment horizontal="center"/>
      <protection locked="0"/>
    </xf>
    <xf numFmtId="0" fontId="10" fillId="0" borderId="10" xfId="6" applyFont="1" applyBorder="1" applyAlignment="1" applyProtection="1">
      <alignment shrinkToFit="1"/>
      <protection locked="0"/>
    </xf>
    <xf numFmtId="0" fontId="10" fillId="0" borderId="31" xfId="6" applyFont="1" applyBorder="1" applyAlignment="1" applyProtection="1">
      <alignment horizontal="center"/>
      <protection locked="0"/>
    </xf>
    <xf numFmtId="0" fontId="41" fillId="5" borderId="32" xfId="6" applyFont="1" applyFill="1" applyBorder="1" applyAlignment="1" applyProtection="1">
      <alignment horizontal="center"/>
      <protection locked="0"/>
    </xf>
    <xf numFmtId="0" fontId="10" fillId="0" borderId="16" xfId="6" applyFont="1" applyBorder="1" applyAlignment="1" applyProtection="1">
      <alignment horizontal="center"/>
      <protection locked="0"/>
    </xf>
    <xf numFmtId="0" fontId="10" fillId="0" borderId="7" xfId="1" applyNumberFormat="1" applyFont="1" applyBorder="1" applyAlignment="1" applyProtection="1">
      <alignment horizontal="center" shrinkToFit="1"/>
      <protection locked="0"/>
    </xf>
    <xf numFmtId="0" fontId="8" fillId="0" borderId="0" xfId="0" applyFont="1" applyProtection="1">
      <protection locked="0"/>
    </xf>
    <xf numFmtId="0" fontId="47" fillId="4" borderId="25" xfId="8" applyFont="1" applyBorder="1" applyAlignment="1" applyProtection="1">
      <alignment horizontal="center" vertical="center" wrapText="1"/>
      <protection locked="0"/>
    </xf>
    <xf numFmtId="0" fontId="47" fillId="4" borderId="26" xfId="8" applyFont="1" applyBorder="1" applyAlignment="1" applyProtection="1">
      <alignment horizontal="center" vertical="center" wrapText="1"/>
      <protection locked="0"/>
    </xf>
    <xf numFmtId="166" fontId="47" fillId="4" borderId="27" xfId="1" applyFont="1" applyFill="1" applyBorder="1" applyAlignment="1" applyProtection="1">
      <alignment horizontal="center" vertical="center" wrapText="1"/>
      <protection locked="0"/>
    </xf>
    <xf numFmtId="0" fontId="47" fillId="4" borderId="27" xfId="1" applyNumberFormat="1" applyFont="1" applyFill="1" applyBorder="1" applyAlignment="1" applyProtection="1">
      <alignment horizontal="center" vertical="center" wrapText="1"/>
      <protection locked="0"/>
    </xf>
    <xf numFmtId="166" fontId="47" fillId="12" borderId="27" xfId="1" applyFont="1" applyFill="1" applyBorder="1" applyAlignment="1" applyProtection="1">
      <alignment horizontal="center" vertical="center" wrapText="1"/>
      <protection locked="0"/>
    </xf>
    <xf numFmtId="0" fontId="4" fillId="0" borderId="21" xfId="0" applyFont="1" applyBorder="1" applyAlignment="1" applyProtection="1">
      <alignment horizontal="center"/>
      <protection locked="0"/>
    </xf>
    <xf numFmtId="43" fontId="4" fillId="0" borderId="4" xfId="1" applyNumberFormat="1" applyFont="1" applyBorder="1" applyAlignment="1" applyProtection="1">
      <protection locked="0"/>
    </xf>
    <xf numFmtId="166" fontId="4" fillId="0" borderId="4" xfId="1" applyFont="1" applyBorder="1" applyAlignment="1" applyProtection="1">
      <protection locked="0"/>
    </xf>
    <xf numFmtId="0" fontId="4" fillId="5" borderId="29" xfId="6" applyFont="1" applyFill="1" applyBorder="1" applyAlignment="1" applyProtection="1">
      <alignment horizontal="center"/>
      <protection locked="0"/>
    </xf>
    <xf numFmtId="0" fontId="4" fillId="5" borderId="3" xfId="6" applyFont="1" applyFill="1" applyBorder="1" applyAlignment="1" applyProtection="1">
      <alignment horizontal="center"/>
      <protection locked="0"/>
    </xf>
    <xf numFmtId="4" fontId="4" fillId="3" borderId="4" xfId="7" applyNumberFormat="1" applyFont="1" applyBorder="1" applyAlignment="1" applyProtection="1">
      <protection hidden="1"/>
    </xf>
    <xf numFmtId="0" fontId="4" fillId="0" borderId="0" xfId="6" applyFont="1" applyBorder="1" applyAlignment="1" applyProtection="1">
      <protection locked="0"/>
    </xf>
    <xf numFmtId="0" fontId="4" fillId="0" borderId="4" xfId="6" applyFont="1" applyBorder="1" applyAlignment="1" applyProtection="1">
      <alignment horizontal="left" shrinkToFit="1"/>
      <protection locked="0"/>
    </xf>
    <xf numFmtId="0" fontId="4" fillId="0" borderId="4" xfId="6" applyFont="1" applyFill="1" applyBorder="1" applyAlignment="1" applyProtection="1">
      <alignment horizontal="center" shrinkToFit="1"/>
      <protection locked="0"/>
    </xf>
    <xf numFmtId="0" fontId="10" fillId="0" borderId="25" xfId="6" applyFont="1" applyBorder="1" applyAlignment="1" applyProtection="1">
      <alignment horizontal="center"/>
      <protection locked="0"/>
    </xf>
    <xf numFmtId="0" fontId="10" fillId="11" borderId="26" xfId="6" applyFont="1" applyFill="1" applyBorder="1" applyAlignment="1" applyProtection="1">
      <alignment horizontal="center"/>
      <protection locked="0"/>
    </xf>
    <xf numFmtId="0" fontId="10" fillId="0" borderId="27" xfId="6" applyFont="1" applyBorder="1" applyAlignment="1" applyProtection="1">
      <alignment shrinkToFit="1"/>
      <protection locked="0"/>
    </xf>
    <xf numFmtId="0" fontId="10" fillId="0" borderId="27" xfId="6" applyFont="1" applyBorder="1" applyAlignment="1" applyProtection="1">
      <alignment horizontal="center" shrinkToFit="1"/>
      <protection locked="0"/>
    </xf>
    <xf numFmtId="166" fontId="10" fillId="0" borderId="27" xfId="1" applyFont="1" applyBorder="1" applyAlignment="1" applyProtection="1">
      <alignment horizontal="center" shrinkToFit="1"/>
      <protection locked="0"/>
    </xf>
    <xf numFmtId="17" fontId="10" fillId="0" borderId="59" xfId="1" quotePrefix="1" applyNumberFormat="1" applyFont="1" applyBorder="1" applyAlignment="1" applyProtection="1">
      <alignment horizontal="center" shrinkToFit="1"/>
      <protection locked="0"/>
    </xf>
    <xf numFmtId="166" fontId="10" fillId="0" borderId="59" xfId="1" applyFont="1" applyBorder="1" applyAlignment="1" applyProtection="1">
      <alignment horizontal="center" shrinkToFit="1"/>
      <protection locked="0"/>
    </xf>
    <xf numFmtId="166" fontId="10" fillId="0" borderId="27" xfId="1" applyFont="1" applyBorder="1" applyAlignment="1" applyProtection="1">
      <alignment shrinkToFit="1"/>
      <protection locked="0"/>
    </xf>
    <xf numFmtId="43" fontId="4" fillId="5" borderId="59" xfId="1" applyNumberFormat="1" applyFont="1" applyFill="1" applyBorder="1" applyAlignment="1" applyProtection="1">
      <protection locked="0"/>
    </xf>
    <xf numFmtId="166" fontId="10" fillId="0" borderId="59" xfId="1" applyFont="1" applyBorder="1" applyAlignment="1" applyProtection="1">
      <alignment shrinkToFit="1"/>
      <protection locked="0"/>
    </xf>
    <xf numFmtId="43" fontId="4" fillId="5" borderId="27" xfId="1" applyNumberFormat="1" applyFont="1" applyFill="1" applyBorder="1" applyAlignment="1" applyProtection="1">
      <protection locked="0"/>
    </xf>
    <xf numFmtId="166" fontId="10" fillId="0" borderId="27" xfId="1" applyFont="1" applyBorder="1" applyAlignment="1" applyProtection="1">
      <alignment horizontal="right" wrapText="1" shrinkToFit="1"/>
      <protection locked="0"/>
    </xf>
    <xf numFmtId="4" fontId="10" fillId="3" borderId="27" xfId="7" applyNumberFormat="1" applyFont="1" applyBorder="1" applyAlignment="1" applyProtection="1">
      <protection hidden="1"/>
    </xf>
    <xf numFmtId="0" fontId="4" fillId="0" borderId="59" xfId="0" applyFont="1" applyBorder="1" applyAlignment="1" applyProtection="1">
      <alignment horizontal="center"/>
      <protection locked="0"/>
    </xf>
    <xf numFmtId="4" fontId="4" fillId="0" borderId="27" xfId="7" applyNumberFormat="1" applyFont="1" applyFill="1" applyBorder="1" applyAlignment="1" applyProtection="1">
      <alignment horizontal="center"/>
      <protection hidden="1"/>
    </xf>
    <xf numFmtId="4" fontId="10" fillId="11" borderId="60" xfId="7" applyNumberFormat="1" applyFont="1" applyFill="1" applyBorder="1" applyAlignment="1" applyProtection="1">
      <alignment horizontal="center"/>
      <protection hidden="1"/>
    </xf>
    <xf numFmtId="0" fontId="4" fillId="0" borderId="60" xfId="0" applyFont="1" applyBorder="1" applyProtection="1">
      <protection locked="0"/>
    </xf>
    <xf numFmtId="0" fontId="4" fillId="0" borderId="46" xfId="0" applyFont="1" applyBorder="1" applyProtection="1">
      <protection locked="0"/>
    </xf>
    <xf numFmtId="0" fontId="4" fillId="5" borderId="33" xfId="6" applyFont="1" applyFill="1" applyBorder="1" applyAlignment="1" applyProtection="1">
      <alignment horizontal="center"/>
      <protection locked="0"/>
    </xf>
    <xf numFmtId="0" fontId="4" fillId="5" borderId="34" xfId="6" applyFont="1" applyFill="1" applyBorder="1" applyAlignment="1" applyProtection="1">
      <alignment horizontal="center"/>
      <protection locked="0"/>
    </xf>
    <xf numFmtId="49" fontId="4" fillId="0" borderId="35" xfId="6" applyNumberFormat="1" applyFont="1" applyBorder="1" applyAlignment="1" applyProtection="1">
      <alignment horizontal="left" shrinkToFit="1"/>
      <protection locked="0"/>
    </xf>
    <xf numFmtId="49" fontId="4" fillId="0" borderId="35" xfId="6" applyNumberFormat="1" applyFont="1" applyBorder="1" applyAlignment="1" applyProtection="1">
      <alignment horizontal="center" shrinkToFit="1"/>
      <protection locked="0"/>
    </xf>
    <xf numFmtId="166" fontId="4" fillId="0" borderId="35" xfId="1" applyFont="1" applyBorder="1" applyAlignment="1" applyProtection="1">
      <alignment horizontal="center" shrinkToFit="1"/>
      <protection locked="0"/>
    </xf>
    <xf numFmtId="0" fontId="4" fillId="0" borderId="35" xfId="1" applyNumberFormat="1" applyFont="1" applyBorder="1" applyAlignment="1" applyProtection="1">
      <alignment horizontal="center" shrinkToFit="1"/>
      <protection locked="0"/>
    </xf>
    <xf numFmtId="166" fontId="4" fillId="0" borderId="35" xfId="1" applyFont="1" applyBorder="1" applyAlignment="1" applyProtection="1">
      <alignment horizontal="left" shrinkToFit="1"/>
      <protection locked="0"/>
    </xf>
    <xf numFmtId="4" fontId="4" fillId="0" borderId="35" xfId="1" applyNumberFormat="1" applyFont="1" applyBorder="1" applyAlignment="1" applyProtection="1">
      <protection locked="0"/>
    </xf>
    <xf numFmtId="4" fontId="4" fillId="3" borderId="35" xfId="7" applyNumberFormat="1" applyFont="1" applyBorder="1" applyAlignment="1" applyProtection="1">
      <protection hidden="1"/>
    </xf>
    <xf numFmtId="14" fontId="4" fillId="0" borderId="35" xfId="0" applyNumberFormat="1" applyFont="1" applyBorder="1" applyAlignment="1" applyProtection="1">
      <alignment horizontal="center"/>
      <protection locked="0"/>
    </xf>
    <xf numFmtId="4" fontId="4" fillId="11" borderId="35" xfId="7" applyNumberFormat="1" applyFont="1" applyFill="1" applyBorder="1" applyAlignment="1" applyProtection="1">
      <alignment horizontal="center"/>
      <protection hidden="1"/>
    </xf>
    <xf numFmtId="4" fontId="4" fillId="11" borderId="61" xfId="7" applyNumberFormat="1" applyFont="1" applyFill="1" applyBorder="1" applyAlignment="1" applyProtection="1">
      <alignment horizontal="center"/>
      <protection hidden="1"/>
    </xf>
    <xf numFmtId="14" fontId="4" fillId="0" borderId="61" xfId="0" applyNumberFormat="1" applyFont="1" applyBorder="1" applyProtection="1">
      <protection locked="0"/>
    </xf>
    <xf numFmtId="0" fontId="57" fillId="14" borderId="27" xfId="0" applyFont="1" applyFill="1" applyBorder="1" applyAlignment="1">
      <alignment horizontal="center" vertical="center" wrapText="1"/>
    </xf>
    <xf numFmtId="0" fontId="40" fillId="15" borderId="62" xfId="0" applyFont="1" applyFill="1" applyBorder="1" applyAlignment="1">
      <alignment horizontal="center" vertical="center" wrapText="1"/>
    </xf>
    <xf numFmtId="0" fontId="40" fillId="14" borderId="62" xfId="0" applyFont="1" applyFill="1" applyBorder="1" applyAlignment="1">
      <alignment horizontal="center" vertical="center" wrapText="1"/>
    </xf>
    <xf numFmtId="0" fontId="41" fillId="5" borderId="33" xfId="6" applyFont="1" applyFill="1" applyBorder="1" applyAlignment="1" applyProtection="1">
      <alignment horizontal="center"/>
      <protection locked="0"/>
    </xf>
    <xf numFmtId="0" fontId="41" fillId="5" borderId="34" xfId="6" applyFont="1" applyFill="1" applyBorder="1" applyAlignment="1" applyProtection="1">
      <alignment horizontal="center"/>
      <protection locked="0"/>
    </xf>
    <xf numFmtId="49" fontId="36" fillId="0" borderId="35" xfId="6" applyNumberFormat="1" applyFont="1" applyBorder="1" applyAlignment="1" applyProtection="1">
      <alignment horizontal="left" shrinkToFit="1"/>
      <protection locked="0"/>
    </xf>
    <xf numFmtId="0" fontId="10" fillId="0" borderId="35" xfId="1" applyNumberFormat="1" applyFont="1" applyBorder="1" applyAlignment="1" applyProtection="1">
      <alignment horizontal="center" shrinkToFit="1"/>
      <protection locked="0"/>
    </xf>
    <xf numFmtId="4" fontId="10" fillId="3" borderId="35" xfId="7" applyNumberFormat="1" applyFont="1" applyBorder="1" applyAlignment="1" applyProtection="1">
      <protection hidden="1"/>
    </xf>
    <xf numFmtId="4" fontId="10" fillId="11" borderId="35" xfId="7" applyNumberFormat="1" applyFont="1" applyFill="1" applyBorder="1" applyAlignment="1" applyProtection="1">
      <alignment horizontal="center"/>
      <protection hidden="1"/>
    </xf>
    <xf numFmtId="4" fontId="10" fillId="11" borderId="61" xfId="7" applyNumberFormat="1" applyFont="1" applyFill="1" applyBorder="1" applyAlignment="1" applyProtection="1">
      <alignment horizontal="center"/>
      <protection hidden="1"/>
    </xf>
    <xf numFmtId="0" fontId="10" fillId="0" borderId="63" xfId="6" applyFont="1" applyBorder="1" applyAlignment="1" applyProtection="1">
      <alignment horizontal="center"/>
      <protection locked="0"/>
    </xf>
    <xf numFmtId="0" fontId="10" fillId="0" borderId="64" xfId="6" applyFont="1" applyBorder="1" applyAlignment="1" applyProtection="1">
      <alignment horizontal="center"/>
      <protection locked="0"/>
    </xf>
    <xf numFmtId="0" fontId="10" fillId="0" borderId="65" xfId="6" applyFont="1" applyBorder="1" applyAlignment="1" applyProtection="1">
      <alignment shrinkToFit="1"/>
      <protection locked="0"/>
    </xf>
    <xf numFmtId="166" fontId="10" fillId="0" borderId="65" xfId="1" applyFont="1" applyBorder="1" applyAlignment="1" applyProtection="1">
      <alignment horizontal="center" shrinkToFit="1"/>
      <protection locked="0"/>
    </xf>
    <xf numFmtId="17" fontId="10" fillId="0" borderId="65" xfId="1" applyNumberFormat="1" applyFont="1" applyBorder="1" applyAlignment="1" applyProtection="1">
      <alignment horizontal="center" shrinkToFit="1"/>
      <protection locked="0"/>
    </xf>
    <xf numFmtId="166" fontId="10" fillId="0" borderId="4" xfId="1" applyFont="1" applyBorder="1" applyAlignment="1" applyProtection="1">
      <alignment shrinkToFit="1"/>
      <protection locked="0"/>
    </xf>
    <xf numFmtId="166" fontId="10" fillId="0" borderId="65" xfId="1" applyFont="1" applyFill="1" applyBorder="1" applyAlignment="1" applyProtection="1">
      <alignment horizontal="center" shrinkToFit="1"/>
      <protection locked="0"/>
    </xf>
    <xf numFmtId="43" fontId="4" fillId="5" borderId="65" xfId="1" applyNumberFormat="1" applyFont="1" applyFill="1" applyBorder="1" applyAlignment="1" applyProtection="1">
      <protection locked="0"/>
    </xf>
    <xf numFmtId="166" fontId="10" fillId="0" borderId="65" xfId="1" applyFont="1" applyBorder="1" applyAlignment="1" applyProtection="1">
      <alignment shrinkToFit="1"/>
      <protection locked="0"/>
    </xf>
    <xf numFmtId="166" fontId="10" fillId="0" borderId="4" xfId="1" applyFont="1" applyBorder="1" applyAlignment="1" applyProtection="1">
      <alignment horizontal="right" wrapText="1" shrinkToFit="1"/>
      <protection locked="0"/>
    </xf>
    <xf numFmtId="0" fontId="4" fillId="0" borderId="65" xfId="0" applyFont="1" applyBorder="1" applyAlignment="1" applyProtection="1">
      <alignment horizontal="center"/>
      <protection locked="0"/>
    </xf>
    <xf numFmtId="4" fontId="10" fillId="11" borderId="65" xfId="7" applyNumberFormat="1" applyFont="1" applyFill="1" applyBorder="1" applyAlignment="1" applyProtection="1">
      <alignment horizontal="center"/>
      <protection hidden="1"/>
    </xf>
    <xf numFmtId="0" fontId="4" fillId="0" borderId="66" xfId="0" applyFont="1" applyBorder="1" applyAlignment="1" applyProtection="1">
      <alignment horizontal="center"/>
      <protection locked="0"/>
    </xf>
    <xf numFmtId="0" fontId="4" fillId="0" borderId="67" xfId="6" applyFont="1" applyBorder="1" applyAlignment="1" applyProtection="1">
      <alignment horizontal="center"/>
      <protection locked="0"/>
    </xf>
    <xf numFmtId="0" fontId="4" fillId="0" borderId="68" xfId="6" applyFont="1" applyBorder="1" applyAlignment="1" applyProtection="1">
      <alignment horizontal="center"/>
      <protection locked="0"/>
    </xf>
    <xf numFmtId="0" fontId="10" fillId="0" borderId="59" xfId="6" applyFont="1" applyBorder="1" applyAlignment="1" applyProtection="1">
      <alignment shrinkToFit="1"/>
      <protection locked="0"/>
    </xf>
    <xf numFmtId="0" fontId="4" fillId="0" borderId="69" xfId="0" applyFont="1" applyBorder="1" applyAlignment="1" applyProtection="1">
      <alignment horizontal="center"/>
      <protection locked="0"/>
    </xf>
    <xf numFmtId="0" fontId="4" fillId="0" borderId="45" xfId="0" applyFont="1" applyBorder="1" applyAlignment="1" applyProtection="1">
      <alignment horizontal="center"/>
      <protection locked="0"/>
    </xf>
    <xf numFmtId="0" fontId="36" fillId="0" borderId="35" xfId="6" applyFont="1" applyBorder="1" applyAlignment="1" applyProtection="1">
      <alignment horizontal="left" shrinkToFit="1"/>
      <protection locked="0"/>
    </xf>
    <xf numFmtId="0" fontId="4" fillId="0" borderId="35" xfId="6" applyFont="1" applyBorder="1" applyAlignment="1" applyProtection="1">
      <alignment horizontal="center" shrinkToFit="1"/>
      <protection locked="0"/>
    </xf>
    <xf numFmtId="0" fontId="10" fillId="0" borderId="35" xfId="6" applyFont="1" applyBorder="1" applyAlignment="1" applyProtection="1">
      <alignment horizontal="center" shrinkToFit="1"/>
      <protection locked="0"/>
    </xf>
    <xf numFmtId="166" fontId="10" fillId="0" borderId="35" xfId="1" applyFont="1" applyBorder="1" applyAlignment="1" applyProtection="1">
      <alignment horizontal="center" shrinkToFit="1"/>
      <protection locked="0"/>
    </xf>
    <xf numFmtId="4" fontId="10" fillId="0" borderId="35" xfId="1" applyNumberFormat="1" applyFont="1" applyBorder="1" applyAlignment="1" applyProtection="1">
      <protection locked="0"/>
    </xf>
    <xf numFmtId="14" fontId="4" fillId="0" borderId="61" xfId="0" applyNumberFormat="1" applyFont="1" applyBorder="1" applyAlignment="1" applyProtection="1">
      <alignment horizontal="center"/>
      <protection locked="0"/>
    </xf>
    <xf numFmtId="0" fontId="10" fillId="10" borderId="0" xfId="6" applyFont="1" applyFill="1" applyBorder="1" applyAlignment="1" applyProtection="1">
      <protection locked="0"/>
    </xf>
    <xf numFmtId="4" fontId="4" fillId="10" borderId="27" xfId="7" applyNumberFormat="1" applyFont="1" applyFill="1" applyBorder="1" applyAlignment="1" applyProtection="1">
      <alignment horizontal="center"/>
      <protection hidden="1"/>
    </xf>
    <xf numFmtId="17" fontId="4" fillId="0" borderId="4" xfId="1" applyNumberFormat="1" applyFont="1" applyBorder="1" applyAlignment="1" applyProtection="1">
      <alignment horizontal="center" shrinkToFit="1"/>
      <protection locked="0"/>
    </xf>
    <xf numFmtId="1" fontId="10" fillId="11" borderId="11" xfId="6" quotePrefix="1" applyNumberFormat="1" applyFont="1" applyFill="1" applyBorder="1" applyAlignment="1" applyProtection="1">
      <alignment horizontal="center" vertical="center"/>
      <protection locked="0"/>
    </xf>
    <xf numFmtId="0" fontId="4" fillId="10" borderId="7" xfId="0" applyFont="1" applyFill="1" applyBorder="1" applyAlignment="1" applyProtection="1">
      <alignment horizontal="center"/>
      <protection locked="0"/>
    </xf>
    <xf numFmtId="1" fontId="10" fillId="11" borderId="16" xfId="6" quotePrefix="1" applyNumberFormat="1" applyFont="1" applyFill="1" applyBorder="1" applyAlignment="1" applyProtection="1">
      <alignment horizontal="center" vertical="center"/>
      <protection locked="0"/>
    </xf>
    <xf numFmtId="0" fontId="8" fillId="19" borderId="56" xfId="12" applyFont="1" applyFill="1" applyBorder="1" applyAlignment="1">
      <alignment horizontal="center" vertical="center"/>
    </xf>
    <xf numFmtId="0" fontId="8" fillId="19" borderId="57" xfId="12" applyFont="1" applyFill="1" applyBorder="1" applyAlignment="1">
      <alignment horizontal="center" vertical="center"/>
    </xf>
    <xf numFmtId="0" fontId="8" fillId="19" borderId="58" xfId="12" applyFont="1" applyFill="1" applyBorder="1" applyAlignment="1">
      <alignment horizontal="center" vertical="center"/>
    </xf>
    <xf numFmtId="0" fontId="8" fillId="19" borderId="23" xfId="12" applyFont="1" applyFill="1" applyBorder="1" applyAlignment="1">
      <alignment horizontal="center" vertical="center"/>
    </xf>
    <xf numFmtId="0" fontId="8" fillId="19" borderId="18" xfId="12" applyFont="1" applyFill="1" applyBorder="1" applyAlignment="1">
      <alignment horizontal="center" vertical="center"/>
    </xf>
    <xf numFmtId="0" fontId="8" fillId="19" borderId="24" xfId="12" applyFont="1" applyFill="1" applyBorder="1" applyAlignment="1">
      <alignment horizontal="center" vertical="center"/>
    </xf>
    <xf numFmtId="0" fontId="13" fillId="5" borderId="5" xfId="10" applyFont="1" applyFill="1" applyBorder="1" applyAlignment="1">
      <alignment horizontal="center" vertical="top" wrapText="1"/>
    </xf>
    <xf numFmtId="0" fontId="13" fillId="5" borderId="4" xfId="10" applyFont="1" applyFill="1" applyBorder="1" applyAlignment="1">
      <alignment horizontal="center" vertical="top" wrapText="1"/>
    </xf>
    <xf numFmtId="0" fontId="13" fillId="5" borderId="21" xfId="10" applyFont="1" applyFill="1" applyBorder="1" applyAlignment="1">
      <alignment horizontal="center" vertical="top" wrapText="1"/>
    </xf>
    <xf numFmtId="0" fontId="8" fillId="19" borderId="54" xfId="12" applyFont="1" applyFill="1" applyBorder="1" applyAlignment="1">
      <alignment horizontal="center" vertical="center"/>
    </xf>
    <xf numFmtId="0" fontId="8" fillId="0" borderId="0" xfId="10" applyFont="1" applyAlignment="1">
      <alignment horizontal="left"/>
    </xf>
    <xf numFmtId="0" fontId="49" fillId="0" borderId="0" xfId="10" applyFont="1" applyAlignment="1">
      <alignment horizontal="left"/>
    </xf>
    <xf numFmtId="0" fontId="22" fillId="0" borderId="39" xfId="10" applyFont="1" applyBorder="1" applyAlignment="1">
      <alignment horizontal="center" vertical="top" wrapText="1"/>
    </xf>
    <xf numFmtId="0" fontId="22" fillId="0" borderId="4" xfId="10" applyFont="1" applyBorder="1" applyAlignment="1">
      <alignment horizontal="center" vertical="top" wrapText="1"/>
    </xf>
    <xf numFmtId="0" fontId="22" fillId="0" borderId="21" xfId="10" applyFont="1" applyBorder="1" applyAlignment="1">
      <alignment horizontal="center" vertical="top" wrapText="1"/>
    </xf>
    <xf numFmtId="0" fontId="22" fillId="5" borderId="5" xfId="10" applyFont="1" applyFill="1" applyBorder="1" applyAlignment="1">
      <alignment horizontal="center" vertical="top"/>
    </xf>
    <xf numFmtId="0" fontId="22" fillId="5" borderId="4" xfId="10" applyFont="1" applyFill="1" applyBorder="1" applyAlignment="1">
      <alignment horizontal="center" vertical="top"/>
    </xf>
    <xf numFmtId="0" fontId="22" fillId="5" borderId="13" xfId="10" applyFont="1" applyFill="1" applyBorder="1" applyAlignment="1">
      <alignment horizontal="center" vertical="top" wrapText="1"/>
    </xf>
    <xf numFmtId="0" fontId="22" fillId="5" borderId="38" xfId="10" applyFont="1" applyFill="1" applyBorder="1" applyAlignment="1">
      <alignment horizontal="center" vertical="top" wrapText="1"/>
    </xf>
    <xf numFmtId="0" fontId="22" fillId="5" borderId="43" xfId="10" applyFont="1" applyFill="1" applyBorder="1" applyAlignment="1">
      <alignment horizontal="center" vertical="top" wrapText="1"/>
    </xf>
    <xf numFmtId="0" fontId="22" fillId="5" borderId="54" xfId="10" applyFont="1" applyFill="1" applyBorder="1" applyAlignment="1">
      <alignment horizontal="center" vertical="top" wrapText="1"/>
    </xf>
    <xf numFmtId="0" fontId="13" fillId="5" borderId="4" xfId="10" applyFont="1" applyFill="1" applyBorder="1" applyAlignment="1">
      <alignment horizontal="center" vertical="top"/>
    </xf>
    <xf numFmtId="0" fontId="13" fillId="5" borderId="21" xfId="10" applyFont="1" applyFill="1" applyBorder="1" applyAlignment="1">
      <alignment horizontal="center" vertical="top"/>
    </xf>
    <xf numFmtId="164" fontId="13" fillId="5" borderId="5" xfId="10" applyNumberFormat="1" applyFont="1" applyFill="1" applyBorder="1" applyAlignment="1">
      <alignment horizontal="center" vertical="top" wrapText="1"/>
    </xf>
    <xf numFmtId="164" fontId="13" fillId="5" borderId="4" xfId="10" applyNumberFormat="1" applyFont="1" applyFill="1" applyBorder="1" applyAlignment="1">
      <alignment horizontal="center" vertical="top"/>
    </xf>
    <xf numFmtId="164" fontId="13" fillId="5" borderId="21" xfId="10" applyNumberFormat="1" applyFont="1" applyFill="1" applyBorder="1" applyAlignment="1">
      <alignment horizontal="center" vertical="top"/>
    </xf>
    <xf numFmtId="166" fontId="47" fillId="22" borderId="4" xfId="1" applyFont="1" applyFill="1" applyBorder="1" applyAlignment="1" applyProtection="1">
      <alignment horizontal="center" vertical="center" wrapText="1"/>
      <protection locked="0"/>
    </xf>
    <xf numFmtId="166" fontId="47" fillId="23" borderId="4" xfId="1" applyFont="1" applyFill="1" applyBorder="1" applyAlignment="1" applyProtection="1">
      <alignment horizontal="center" vertical="center" wrapText="1"/>
      <protection locked="0"/>
    </xf>
    <xf numFmtId="166" fontId="10" fillId="23" borderId="7" xfId="1" applyFont="1" applyFill="1" applyBorder="1" applyAlignment="1" applyProtection="1">
      <alignment vertical="center" shrinkToFit="1"/>
      <protection locked="0"/>
    </xf>
    <xf numFmtId="166" fontId="10" fillId="23" borderId="4" xfId="1" applyFont="1" applyFill="1" applyBorder="1" applyAlignment="1" applyProtection="1">
      <alignment vertical="center" shrinkToFit="1"/>
      <protection locked="0"/>
    </xf>
    <xf numFmtId="166" fontId="10" fillId="23" borderId="4" xfId="1" applyFont="1" applyFill="1" applyBorder="1" applyAlignment="1" applyProtection="1">
      <alignment horizontal="left" vertical="center" shrinkToFit="1"/>
      <protection locked="0"/>
    </xf>
    <xf numFmtId="166" fontId="6" fillId="23" borderId="36" xfId="1" applyFont="1" applyFill="1" applyBorder="1" applyAlignment="1" applyProtection="1">
      <alignment horizontal="center"/>
      <protection locked="0"/>
    </xf>
    <xf numFmtId="166" fontId="10" fillId="23" borderId="6" xfId="1" applyFont="1" applyFill="1" applyBorder="1" applyAlignment="1" applyProtection="1">
      <alignment vertical="center" shrinkToFit="1"/>
      <protection locked="0"/>
    </xf>
    <xf numFmtId="4" fontId="4" fillId="24" borderId="7" xfId="7" applyNumberFormat="1" applyFont="1" applyFill="1" applyBorder="1" applyProtection="1">
      <protection hidden="1"/>
    </xf>
    <xf numFmtId="4" fontId="10" fillId="24" borderId="10" xfId="7" applyNumberFormat="1" applyFont="1" applyFill="1" applyBorder="1" applyProtection="1">
      <protection hidden="1"/>
    </xf>
    <xf numFmtId="4" fontId="10" fillId="24" borderId="15" xfId="7" applyNumberFormat="1" applyFont="1" applyFill="1" applyBorder="1" applyProtection="1">
      <protection hidden="1"/>
    </xf>
    <xf numFmtId="0" fontId="30" fillId="0" borderId="54" xfId="10" applyFont="1" applyBorder="1" applyAlignment="1">
      <alignment horizontal="left"/>
    </xf>
    <xf numFmtId="166" fontId="31" fillId="8" borderId="54" xfId="11" applyFont="1" applyFill="1" applyBorder="1" applyAlignment="1"/>
    <xf numFmtId="166" fontId="30" fillId="5" borderId="54" xfId="11" applyFont="1" applyFill="1" applyBorder="1" applyAlignment="1"/>
    <xf numFmtId="0" fontId="30" fillId="0" borderId="62" xfId="10" applyFont="1" applyBorder="1" applyAlignment="1">
      <alignment horizontal="left"/>
    </xf>
    <xf numFmtId="166" fontId="31" fillId="5" borderId="54" xfId="11" applyFont="1" applyFill="1" applyBorder="1" applyAlignment="1"/>
    <xf numFmtId="0" fontId="30" fillId="5" borderId="54" xfId="10" applyFont="1" applyFill="1" applyBorder="1" applyAlignment="1">
      <alignment horizontal="left" wrapText="1"/>
    </xf>
    <xf numFmtId="0" fontId="31" fillId="5" borderId="54" xfId="11" applyNumberFormat="1" applyFont="1" applyFill="1" applyBorder="1" applyAlignment="1">
      <alignment horizontal="center"/>
    </xf>
    <xf numFmtId="166" fontId="31" fillId="0" borderId="13" xfId="11" applyFont="1" applyFill="1" applyBorder="1" applyAlignment="1"/>
    <xf numFmtId="9" fontId="30" fillId="0" borderId="51" xfId="9" applyFont="1" applyBorder="1" applyAlignment="1">
      <alignment horizontal="center"/>
    </xf>
    <xf numFmtId="0" fontId="30" fillId="0" borderId="62" xfId="12" applyFont="1" applyBorder="1" applyAlignment="1">
      <alignment horizontal="left"/>
    </xf>
    <xf numFmtId="166" fontId="10" fillId="0" borderId="6" xfId="1" applyFont="1" applyFill="1" applyBorder="1" applyAlignment="1" applyProtection="1">
      <alignment vertical="center" shrinkToFit="1"/>
      <protection locked="0"/>
    </xf>
  </cellXfs>
  <cellStyles count="14">
    <cellStyle name="40% - Accent3" xfId="7" builtinId="39"/>
    <cellStyle name="40% - Accent5" xfId="8" builtinId="47"/>
    <cellStyle name="Comma" xfId="1" builtinId="3"/>
    <cellStyle name="Comma 2" xfId="11" xr:uid="{35822B5A-C7C2-44B2-A681-0B5492F88E31}"/>
    <cellStyle name="Currency" xfId="2" builtinId="4"/>
    <cellStyle name="Good" xfId="5" builtinId="26"/>
    <cellStyle name="Heading 1" xfId="3" builtinId="16"/>
    <cellStyle name="Heading 4" xfId="4" builtinId="19"/>
    <cellStyle name="Heading 4 2" xfId="13" xr:uid="{AFCB3CEA-02F0-45E4-A1D9-8950E9487163}"/>
    <cellStyle name="Normal" xfId="0" builtinId="0"/>
    <cellStyle name="Normal 2" xfId="12" xr:uid="{F7E5A196-D5F9-4AF9-B8F2-156FA5986BEF}"/>
    <cellStyle name="Percent" xfId="9" builtinId="5"/>
    <cellStyle name="Title 2" xfId="10" xr:uid="{1F8A6357-1365-4D86-8018-08A14816939D}"/>
    <cellStyle name="Total" xfId="6" builtinId="25"/>
  </cellStyles>
  <dxfs count="92">
    <dxf>
      <font>
        <strike val="0"/>
        <outline val="0"/>
        <shadow val="0"/>
        <u val="none"/>
        <vertAlign val="baseline"/>
        <sz val="12"/>
        <name val="Arial"/>
        <family val="2"/>
        <scheme val="none"/>
      </font>
      <fill>
        <patternFill patternType="solid">
          <fgColor indexed="64"/>
          <bgColor theme="6" tint="0.79998168889431442"/>
        </patternFill>
      </fill>
    </dxf>
    <dxf>
      <font>
        <strike val="0"/>
        <outline val="0"/>
        <shadow val="0"/>
        <u val="none"/>
        <vertAlign val="baseline"/>
        <sz val="12"/>
        <name val="Arial"/>
        <family val="2"/>
        <scheme val="none"/>
      </font>
      <border outline="0">
        <left style="thin">
          <color indexed="64"/>
        </left>
      </border>
    </dxf>
    <dxf>
      <font>
        <strike val="0"/>
        <outline val="0"/>
        <shadow val="0"/>
        <u val="none"/>
        <vertAlign val="baseline"/>
        <sz val="12"/>
        <name val="Arial"/>
        <family val="2"/>
        <scheme val="none"/>
      </font>
      <border outline="0">
        <right style="thin">
          <color indexed="64"/>
        </right>
      </border>
    </dxf>
    <dxf>
      <font>
        <b val="0"/>
        <i val="0"/>
        <strike val="0"/>
        <condense val="0"/>
        <extend val="0"/>
        <outline val="0"/>
        <shadow val="0"/>
        <u val="none"/>
        <vertAlign val="baseline"/>
        <sz val="12"/>
        <color indexed="8"/>
        <name val="Arial"/>
        <family val="2"/>
        <scheme val="none"/>
      </font>
      <fill>
        <patternFill patternType="solid">
          <fgColor indexed="64"/>
          <bgColor theme="6" tint="0.79998168889431442"/>
        </patternFill>
      </fill>
      <alignment horizontal="general" vertical="center" textRotation="0" wrapText="0" indent="0" justifyLastLine="0" shrinkToFit="0" readingOrder="0"/>
      <border diagonalUp="0" diagonalDown="0" outline="0">
        <left style="thin">
          <color indexed="64"/>
        </left>
        <right style="thin">
          <color indexed="64"/>
        </right>
        <top/>
        <bottom/>
      </border>
      <protection locked="0" hidden="0"/>
    </dxf>
    <dxf>
      <font>
        <strike val="0"/>
        <outline val="0"/>
        <shadow val="0"/>
        <u val="none"/>
        <vertAlign val="baseline"/>
        <sz val="12"/>
        <name val="Arial"/>
        <family val="2"/>
        <scheme val="none"/>
      </font>
      <border outline="0">
        <left style="thin">
          <color indexed="64"/>
        </left>
      </border>
    </dxf>
    <dxf>
      <font>
        <b val="0"/>
        <i val="0"/>
        <strike val="0"/>
        <condense val="0"/>
        <extend val="0"/>
        <outline val="0"/>
        <shadow val="0"/>
        <u val="none"/>
        <vertAlign val="baseline"/>
        <sz val="12"/>
        <color indexed="8"/>
        <name val="Arial"/>
        <family val="2"/>
        <scheme val="none"/>
      </font>
      <numFmt numFmtId="4" formatCode="#,##0.00"/>
      <alignment horizontal="general" vertical="center" textRotation="0" wrapText="0" indent="0" justifyLastLine="0" shrinkToFit="0" readingOrder="0"/>
      <border diagonalUp="0" diagonalDown="0" outline="0">
        <left style="thin">
          <color indexed="64"/>
        </left>
        <right style="thin">
          <color indexed="64"/>
        </right>
        <top/>
        <bottom/>
      </border>
      <protection locked="0" hidden="0"/>
    </dxf>
    <dxf>
      <font>
        <strike val="0"/>
        <outline val="0"/>
        <shadow val="0"/>
        <u val="none"/>
        <vertAlign val="baseline"/>
        <sz val="12"/>
        <name val="Arial"/>
        <family val="2"/>
        <scheme val="none"/>
      </font>
      <fill>
        <patternFill patternType="solid">
          <fgColor indexed="64"/>
          <bgColor theme="6" tint="0.79998168889431442"/>
        </patternFill>
      </fill>
    </dxf>
    <dxf>
      <font>
        <strike val="0"/>
        <outline val="0"/>
        <shadow val="0"/>
        <u val="none"/>
        <vertAlign val="baseline"/>
        <sz val="12"/>
        <name val="Arial"/>
        <family val="2"/>
        <scheme val="none"/>
      </font>
      <alignment horizontal="center" textRotation="0" indent="0" justifyLastLine="0" readingOrder="0"/>
      <border outline="0">
        <left style="thin">
          <color indexed="64"/>
        </left>
      </border>
    </dxf>
    <dxf>
      <font>
        <b val="0"/>
        <i val="0"/>
        <strike val="0"/>
        <condense val="0"/>
        <extend val="0"/>
        <outline val="0"/>
        <shadow val="0"/>
        <u val="none"/>
        <vertAlign val="baseline"/>
        <sz val="12"/>
        <color indexed="8"/>
        <name val="Arial"/>
        <family val="2"/>
        <scheme val="none"/>
      </font>
      <numFmt numFmtId="0" formatCode="General"/>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166" formatCode="_(* #,##0.00_);_(* \(#,##0.00\);_(* &quot;-&quot;??_);_(@_)"/>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horizontal="center" vertical="bottom" textRotation="0" indent="0" justifyLastLine="0" shrinkToFit="0" readingOrder="0"/>
      <border diagonalUp="0" diagonalDown="0" outline="0">
        <left style="thin">
          <color indexed="64"/>
        </left>
        <right style="thin">
          <color indexed="64"/>
        </right>
      </border>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166" formatCode="_(* #,##0.00_);_(* \(#,##0.00\);_(* &quot;-&quot;??_);_(@_)"/>
      <fill>
        <patternFill patternType="solid">
          <fgColor indexed="64"/>
          <bgColor rgb="FFFFFF00"/>
        </patternFill>
      </fill>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numFmt numFmtId="35" formatCode="_-* #,##0.00_-;\-* #,##0.00_-;_-* &quot;-&quot;??_-;_-@_-"/>
      <alignment vertical="bottom" textRotation="0" indent="0" justifyLastLine="0" readingOrder="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horizontal="center" vertical="bottom" textRotation="0" indent="0" justifyLastLine="0" readingOrder="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0" formatCode="General"/>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0" formatCode="General"/>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horizontal="center" vertical="bottom" textRotation="0" indent="0" justifyLastLine="0" readingOrder="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right style="thin">
          <color indexed="64"/>
        </right>
        <top/>
        <bottom style="medium">
          <color indexed="64"/>
        </bottom>
      </border>
      <protection locked="0" hidden="0"/>
    </dxf>
    <dxf>
      <font>
        <b val="0"/>
        <i val="0"/>
        <strike val="0"/>
        <condense val="0"/>
        <extend val="0"/>
        <outline val="0"/>
        <shadow val="0"/>
        <u val="none"/>
        <vertAlign val="baseline"/>
        <sz val="12"/>
        <color indexed="9"/>
        <name val="Arial"/>
        <family val="2"/>
        <scheme val="none"/>
      </font>
      <fill>
        <patternFill patternType="solid">
          <fgColor indexed="64"/>
          <bgColor indexed="9"/>
        </patternFill>
      </fill>
      <alignment horizontal="center" vertical="bottom" textRotation="0" wrapText="0" indent="0" justifyLastLine="0" shrinkToFit="0" readingOrder="0"/>
      <border diagonalUp="0" diagonalDown="0" outline="0">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medium">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border diagonalUp="0" diagonalDown="0" outline="0">
        <left style="medium">
          <color indexed="64"/>
        </left>
      </border>
    </dxf>
    <dxf>
      <font>
        <b/>
        <strike val="0"/>
        <outline val="0"/>
        <shadow val="0"/>
        <u val="none"/>
        <vertAlign val="baseline"/>
        <sz val="12"/>
        <color auto="1"/>
        <name val="Arial"/>
        <family val="2"/>
        <scheme val="none"/>
      </font>
      <alignment vertical="bottom" textRotation="0" wrapText="0" indent="0" justifyLastLine="0" shrinkToFit="0" readingOrder="0"/>
      <border diagonalUp="0" diagonalDown="0" outline="0">
        <left style="thin">
          <color rgb="FF000000"/>
        </left>
        <right style="thin">
          <color rgb="FF000000"/>
        </right>
        <top/>
        <bottom/>
      </border>
    </dxf>
    <dxf>
      <border diagonalUp="0" diagonalDown="0">
        <left style="medium">
          <color rgb="FF000000"/>
        </left>
        <right style="medium">
          <color rgb="FF000000"/>
        </right>
        <top style="medium">
          <color rgb="FF000000"/>
        </top>
        <bottom style="medium">
          <color rgb="FF000000"/>
        </bottom>
      </border>
    </dxf>
    <dxf>
      <font>
        <strike val="0"/>
        <outline val="0"/>
        <shadow val="0"/>
        <u val="none"/>
        <vertAlign val="baseline"/>
        <name val="Arial"/>
        <scheme val="none"/>
      </font>
      <alignment textRotation="0" indent="0" justifyLastLine="0" readingOrder="0"/>
      <border diagonalUp="0" diagonalDown="0" outline="0"/>
      <protection locked="0" hidden="0"/>
    </dxf>
    <dxf>
      <font>
        <strike val="0"/>
        <outline val="0"/>
        <shadow val="0"/>
        <u val="none"/>
        <vertAlign val="baseline"/>
        <sz val="12"/>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alignment horizontal="center" textRotation="0" indent="0" justifyLastLine="0" shrinkToFit="0" readingOrder="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dotted">
          <color indexed="53"/>
        </top>
        <bottom style="dotted">
          <color indexed="53"/>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fill>
        <patternFill patternType="solid">
          <fgColor indexed="64"/>
          <bgColor rgb="FFFFFF00"/>
        </patternFill>
      </fill>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numFmt numFmtId="35" formatCode="_-* #,##0.00_-;\-* #,##0.00_-;_-* &quot;-&quot;??_-;_-@_-"/>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2"/>
        <color indexed="8"/>
        <name val="Arial"/>
        <family val="2"/>
        <scheme val="none"/>
      </font>
      <numFmt numFmtId="0" formatCode="General"/>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2"/>
        <color indexed="8"/>
        <name val="Arial"/>
        <family val="2"/>
        <scheme val="none"/>
      </font>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val="0"/>
        <i val="0"/>
        <strike val="0"/>
        <condense val="0"/>
        <extend val="0"/>
        <outline val="0"/>
        <shadow val="0"/>
        <u val="none"/>
        <vertAlign val="baseline"/>
        <sz val="12"/>
        <color indexed="8"/>
        <name val="Arial"/>
        <family val="2"/>
        <scheme val="none"/>
      </font>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val="0"/>
        <strike val="0"/>
        <outline val="0"/>
        <shadow val="0"/>
        <u val="none"/>
        <vertAlign val="baseline"/>
        <sz val="12"/>
        <color indexed="8"/>
        <name val="Arial"/>
        <family val="2"/>
        <scheme val="none"/>
      </font>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2"/>
        <name val="Arial"/>
        <family val="2"/>
        <scheme val="none"/>
      </font>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val="0"/>
        <i val="0"/>
        <strike val="0"/>
        <condense val="0"/>
        <extend val="0"/>
        <outline val="0"/>
        <shadow val="0"/>
        <u val="none"/>
        <vertAlign val="baseline"/>
        <sz val="12"/>
        <color indexed="9"/>
        <name val="Arial"/>
        <family val="2"/>
        <scheme val="none"/>
      </font>
      <fill>
        <patternFill patternType="solid">
          <fgColor indexed="64"/>
          <bgColor indexed="9"/>
        </patternFill>
      </fill>
      <alignment horizontal="center" vertical="center" textRotation="0" wrapText="0" indent="0" justifyLastLine="0" shrinkToFit="0" readingOrder="0"/>
      <border diagonalUp="0" diagonalDown="0" outline="0">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2"/>
        <name val="Arial"/>
        <family val="2"/>
        <scheme val="none"/>
      </font>
    </dxf>
    <dxf>
      <border>
        <top style="thin">
          <color indexed="64"/>
        </top>
      </border>
    </dxf>
    <dxf>
      <font>
        <b/>
        <strike val="0"/>
        <outline val="0"/>
        <shadow val="0"/>
        <u val="none"/>
        <vertAlign val="baseline"/>
        <sz val="12"/>
        <color auto="1"/>
        <name val="Arial"/>
        <family val="2"/>
        <scheme val="none"/>
      </font>
      <alignmen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
      <border diagonalUp="0" diagonalDown="0">
        <left style="medium">
          <color rgb="FF000000"/>
        </left>
        <right style="medium">
          <color rgb="FF000000"/>
        </right>
        <top style="medium">
          <color rgb="FF000000"/>
        </top>
        <bottom style="medium">
          <color rgb="FF000000"/>
        </bottom>
      </border>
    </dxf>
    <dxf>
      <font>
        <strike val="0"/>
        <outline val="0"/>
        <shadow val="0"/>
        <u val="none"/>
        <vertAlign val="baseline"/>
        <sz val="12"/>
        <name val="Arial"/>
        <family val="2"/>
        <scheme val="none"/>
      </font>
      <alignment textRotation="0" indent="0" justifyLastLine="0" readingOrder="0"/>
      <border diagonalUp="0" diagonalDown="0" outline="0"/>
      <protection locked="0" hidden="0"/>
    </dxf>
    <dxf>
      <font>
        <strike val="0"/>
        <outline val="0"/>
        <shadow val="0"/>
        <u val="none"/>
        <vertAlign val="baseline"/>
        <sz val="14"/>
        <color theme="1"/>
        <name val="Arial"/>
        <family val="2"/>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s>
  <tableStyles count="0" defaultTableStyle="TableStyleMedium2" defaultPivotStyle="PivotStyleLight16"/>
  <colors>
    <mruColors>
      <color rgb="FF0000FF"/>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1358900</xdr:colOff>
      <xdr:row>53</xdr:row>
      <xdr:rowOff>140758</xdr:rowOff>
    </xdr:from>
    <xdr:to>
      <xdr:col>4</xdr:col>
      <xdr:colOff>428625</xdr:colOff>
      <xdr:row>54</xdr:row>
      <xdr:rowOff>15027</xdr:rowOff>
    </xdr:to>
    <xdr:sp macro="" textlink="">
      <xdr:nvSpPr>
        <xdr:cNvPr id="2" name="Text Box 2">
          <a:extLst>
            <a:ext uri="{FF2B5EF4-FFF2-40B4-BE49-F238E27FC236}">
              <a16:creationId xmlns:a16="http://schemas.microsoft.com/office/drawing/2014/main" id="{00000000-0008-0000-0200-000002000000}"/>
            </a:ext>
          </a:extLst>
        </xdr:cNvPr>
        <xdr:cNvSpPr txBox="1">
          <a:spLocks noChangeArrowheads="1"/>
        </xdr:cNvSpPr>
      </xdr:nvSpPr>
      <xdr:spPr bwMode="auto">
        <a:xfrm>
          <a:off x="3263900" y="13256683"/>
          <a:ext cx="2946400" cy="45719"/>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(คุณจินตนา</a:t>
          </a:r>
          <a:r>
            <a:rPr lang="th-TH" sz="1600" b="1" baseline="0">
              <a:effectLst/>
              <a:latin typeface="Angsana New" panose="02020603050405020304" pitchFamily="18" charset="-34"/>
              <a:ea typeface="Times New Roman" panose="02020603050405020304" pitchFamily="18" charset="0"/>
              <a:cs typeface="Angsana New" panose="02020603050405020304" pitchFamily="18" charset="-34"/>
            </a:rPr>
            <a:t> อ้อยหวาน</a:t>
          </a: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Sales Assistant Manager</a:t>
          </a:r>
          <a:endParaRPr lang="en-US" sz="1400" b="1">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twoCellAnchor>
    <xdr:from>
      <xdr:col>5</xdr:col>
      <xdr:colOff>1064386</xdr:colOff>
      <xdr:row>54</xdr:row>
      <xdr:rowOff>107</xdr:rowOff>
    </xdr:from>
    <xdr:to>
      <xdr:col>9</xdr:col>
      <xdr:colOff>693618</xdr:colOff>
      <xdr:row>54</xdr:row>
      <xdr:rowOff>107</xdr:rowOff>
    </xdr:to>
    <xdr:sp macro="" textlink="">
      <xdr:nvSpPr>
        <xdr:cNvPr id="5" name="Text Box 2">
          <a:extLst>
            <a:ext uri="{FF2B5EF4-FFF2-40B4-BE49-F238E27FC236}">
              <a16:creationId xmlns:a16="http://schemas.microsoft.com/office/drawing/2014/main" id="{0F700A61-B14B-41CA-95B2-ADCC19411B6A}"/>
            </a:ext>
          </a:extLst>
        </xdr:cNvPr>
        <xdr:cNvSpPr txBox="1">
          <a:spLocks noChangeArrowheads="1"/>
        </xdr:cNvSpPr>
      </xdr:nvSpPr>
      <xdr:spPr bwMode="auto">
        <a:xfrm>
          <a:off x="7931911" y="13287482"/>
          <a:ext cx="3982157"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r>
            <a:rPr lang="th-TH" sz="1600" b="1">
              <a:effectLst/>
              <a:latin typeface="Angsana New" panose="02020603050405020304" pitchFamily="18" charset="-34"/>
              <a:ea typeface="+mn-ea"/>
              <a:cs typeface="Angsana New" panose="02020603050405020304" pitchFamily="18" charset="-34"/>
            </a:rPr>
            <a:t>คุณวันวิสาข์ ประทุมเมือง</a:t>
          </a: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Deputy Managing Director of Marketing</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1063624</xdr:colOff>
      <xdr:row>53</xdr:row>
      <xdr:rowOff>112183</xdr:rowOff>
    </xdr:from>
    <xdr:to>
      <xdr:col>4</xdr:col>
      <xdr:colOff>238124</xdr:colOff>
      <xdr:row>54</xdr:row>
      <xdr:rowOff>9524</xdr:rowOff>
    </xdr:to>
    <xdr:sp macro="" textlink="">
      <xdr:nvSpPr>
        <xdr:cNvPr id="12" name="Text Box 2">
          <a:extLst>
            <a:ext uri="{FF2B5EF4-FFF2-40B4-BE49-F238E27FC236}">
              <a16:creationId xmlns:a16="http://schemas.microsoft.com/office/drawing/2014/main" id="{BB2340A5-D42D-4999-8058-2F16BD56D4A5}"/>
            </a:ext>
          </a:extLst>
        </xdr:cNvPr>
        <xdr:cNvSpPr txBox="1">
          <a:spLocks noChangeArrowheads="1"/>
        </xdr:cNvSpPr>
      </xdr:nvSpPr>
      <xdr:spPr bwMode="auto">
        <a:xfrm>
          <a:off x="2968624" y="12561358"/>
          <a:ext cx="2974975" cy="68791"/>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(คุณจินตนา อ้อยหวาน)</a:t>
          </a: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Sales Assistant Manager  </a:t>
          </a:r>
          <a:endParaRPr lang="en-US" sz="1400" b="1">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twoCellAnchor>
    <xdr:from>
      <xdr:col>5</xdr:col>
      <xdr:colOff>958215</xdr:colOff>
      <xdr:row>53</xdr:row>
      <xdr:rowOff>167640</xdr:rowOff>
    </xdr:from>
    <xdr:to>
      <xdr:col>9</xdr:col>
      <xdr:colOff>809855</xdr:colOff>
      <xdr:row>53</xdr:row>
      <xdr:rowOff>167640</xdr:rowOff>
    </xdr:to>
    <xdr:sp macro="" textlink="">
      <xdr:nvSpPr>
        <xdr:cNvPr id="6" name="Text Box 2">
          <a:extLst>
            <a:ext uri="{FF2B5EF4-FFF2-40B4-BE49-F238E27FC236}">
              <a16:creationId xmlns:a16="http://schemas.microsoft.com/office/drawing/2014/main" id="{6CEE5F5A-31C0-40D9-AC03-3472EC636933}"/>
            </a:ext>
          </a:extLst>
        </xdr:cNvPr>
        <xdr:cNvSpPr txBox="1">
          <a:spLocks noChangeArrowheads="1"/>
        </xdr:cNvSpPr>
      </xdr:nvSpPr>
      <xdr:spPr bwMode="auto">
        <a:xfrm>
          <a:off x="7768590" y="12616815"/>
          <a:ext cx="3985490"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r>
            <a:rPr lang="th-TH" sz="1600" b="1">
              <a:effectLst/>
              <a:latin typeface="Angsana New" panose="02020603050405020304" pitchFamily="18" charset="-34"/>
              <a:ea typeface="+mn-ea"/>
              <a:cs typeface="Angsana New" panose="02020603050405020304" pitchFamily="18" charset="-34"/>
            </a:rPr>
            <a:t>คุณวันวิสาข์ ประทุมเมือง</a:t>
          </a: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Deputy Managing Director of Marketing</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C878C68-A372-446C-8256-BD036B6D96E7}" name="Table1351452010" displayName="Table1351452010" ref="A5:U86" totalsRowShown="0" headerRowDxfId="91" dataDxfId="90" totalsRowDxfId="88" tableBorderDxfId="89" totalsRowBorderDxfId="87">
  <autoFilter ref="A5:U86" xr:uid="{3C878C68-A372-446C-8256-BD036B6D96E7}"/>
  <tableColumns count="21">
    <tableColumn id="1" xr3:uid="{7A68EB0F-4EB7-4EA0-B847-CDCEDE1995D9}" name="ลำดับ" dataDxfId="86" totalsRowDxfId="85"/>
    <tableColumn id="7" xr3:uid="{8F6F8C50-9D55-461F-83AF-B2E29A90BB45}" name="รหัสลูกค้า" dataDxfId="84" totalsRowDxfId="83" dataCellStyle="Total"/>
    <tableColumn id="2" xr3:uid="{E91B7877-DC71-4CB9-BA7F-36CA618C37EA}" name="ชื่อเจ้าของโครงการ" dataDxfId="82" totalsRowDxfId="81"/>
    <tableColumn id="10" xr3:uid="{19271DD2-0A59-4759-AE5D-1AB63890B014}" name="Sales" dataDxfId="80" dataCellStyle="Total"/>
    <tableColumn id="5" xr3:uid="{A5848258-9033-4D9F-8296-8ECDB5D9D258}" name="บริการประเภท" dataDxfId="79" totalsRowDxfId="78" dataCellStyle="Total"/>
    <tableColumn id="25" xr3:uid="{448C2BE4-700B-472E-8A90-659E7D16D1C0}" name="ค่าบริการรายเดือนตาม Package" dataDxfId="77" totalsRowDxfId="76" dataCellStyle="Comma"/>
    <tableColumn id="21" xr3:uid="{F6EB7FD7-22B4-468E-93A2-3C3264EA758C}" name="เดือนที่เริ่มเก็บ_x000a_ค่าบริการ" dataDxfId="75" totalsRowDxfId="74" dataCellStyle="Comma"/>
    <tableColumn id="18" xr3:uid="{C760CCF5-1CE8-4D05-BFDF-919B5CF629EE}" name="รายการเบิก_x000a_คอมขายเพิ่มเติม_x000a_(เป้าตามกำหนด)_x000a_100-200%" dataDxfId="8" totalsRowDxfId="73" dataCellStyle="Comma"/>
    <tableColumn id="9" xr3:uid="{E8C32789-49FE-47D8-9CC6-E6DC2865932C}" name="Total_x000a_รายการเบิก_x000a_คอมขาย" dataDxfId="6" totalsRowDxfId="72" dataCellStyle="Comma"/>
    <tableColumn id="22" xr3:uid="{EE653E92-1BD1-40DB-9031-773B3881CD5E}" name="ค่าขายอุปกรณ์" dataDxfId="7" totalsRowDxfId="71" dataCellStyle="Comma"/>
    <tableColumn id="8" xr3:uid="{3A93194E-260A-40B9-9FBF-008409553371}" name="ต้นทุนค่าขายอุปกรณ์" dataDxfId="70" totalsRowDxfId="69"/>
    <tableColumn id="6" xr3:uid="{43A73351-F329-4C6C-8D46-8406F3275AF6}" name="คอมฯอุปกรณ์_x000a_ 5%" dataDxfId="68" totalsRowDxfId="67"/>
    <tableColumn id="26" xr3:uid="{758CBD6F-DD47-4531-8868-34976B0F62D4}" name="คอมฯ อุปกรณ์_x000a_25%" dataDxfId="5" totalsRowDxfId="66" dataCellStyle="Comma"/>
    <tableColumn id="16" xr3:uid="{78ACD765-640C-4D43-AC13-54384C4A941E}" name="Total_x000a_คอมฯ อุปกรณ์" dataDxfId="3" totalsRowDxfId="65" dataCellStyle="Comma"/>
    <tableColumn id="11" xr3:uid="{8011303A-D1A5-446B-B527-C3286D436110}" name="ค่าติดตั้ง/ค่าเชื่อมสัญญาณ" dataDxfId="4" totalsRowDxfId="64"/>
    <tableColumn id="12" xr3:uid="{9378E1BA-8956-40DD-8B02-7A6FFB094C52}" name="ต้นทุนค่าติดตั้ง/ค่าเชื่อมสัญญาณ" dataDxfId="2" totalsRowDxfId="63"/>
    <tableColumn id="14" xr3:uid="{714892B4-1AAA-47F9-97C0-DB9B6A097513}" name="Total _x000a_คอมฯค่าติดตั้ง/ค่าเชื่อมสัญญาณ" dataDxfId="0" totalsRowDxfId="62"/>
    <tableColumn id="13" xr3:uid="{01E93865-3399-4061-A66D-18E027C46EBE}" name="รวมค่าคอมฯ" dataDxfId="1" totalsRowDxfId="61" dataCellStyle="40% - Accent3"/>
    <tableColumn id="3" xr3:uid="{E3C14B63-3A8F-4A86-98D8-22F73FF5717A}" name="เลขที่ใบกำกับ/ใบเสร็จรับเงิน" dataDxfId="60" totalsRowDxfId="59"/>
    <tableColumn id="29" xr3:uid="{19195CF2-9F31-4094-B7B0-522E55CE71CA}" name="เลขที่นำส่งเงิน_x000a_" dataDxfId="58" totalsRowDxfId="57"/>
    <tableColumn id="4" xr3:uid="{55D2584C-42D9-4C3B-B911-8FF4B7984098}" name="เขตการขาย" dataDxfId="56" totalsRowDxfId="55"/>
  </tableColumns>
  <tableStyleInfo name="TableStyleLight13"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9130E4C-DC9D-4647-817A-46CABDF232F9}" name="Table13514520105" displayName="Table13514520105" ref="A5:U30" totalsRowCount="1" headerRowDxfId="54" dataDxfId="53" totalsRowDxfId="51" tableBorderDxfId="52">
  <tableColumns count="21">
    <tableColumn id="1" xr3:uid="{DF3FD6E6-D745-41F2-ADF9-CD13EAF9355A}" name="ลำดับ" dataDxfId="50" totalsRowDxfId="49"/>
    <tableColumn id="12" xr3:uid="{F4B5205B-6640-4698-B033-46648AA463E3}" name="รหัสลูกค้า" dataDxfId="48" totalsRowDxfId="47" dataCellStyle="Total"/>
    <tableColumn id="2" xr3:uid="{EFD4A409-0B37-48A4-A6D1-0EDAEA08B630}" name="ชื่อเจ้าของโครงการ" totalsRowLabel="Total" dataDxfId="46" totalsRowDxfId="45"/>
    <tableColumn id="10" xr3:uid="{0F59EE97-1C15-48E2-A068-6300779DD479}" name="Sales" dataDxfId="44" totalsRowDxfId="43"/>
    <tableColumn id="5" xr3:uid="{C7CF4C1E-6C22-4A12-BC86-223316804350}" name="บริการประเภท" dataDxfId="42" totalsRowDxfId="41" dataCellStyle="Total"/>
    <tableColumn id="25" xr3:uid="{8F2297A0-32B0-43D2-B9BD-8EC1009B1977}" name="ค่าบริการรายเดือนตาม Package" totalsRowFunction="sum" dataDxfId="40" totalsRowDxfId="39" dataCellStyle="Comma"/>
    <tableColumn id="21" xr3:uid="{75C8E32E-3F65-4F42-ACED-BFC8B27ADC32}" name="เดือนที่เริ่มเก็บ_x000a_ค่าบริการ" dataDxfId="38" totalsRowDxfId="37" dataCellStyle="Comma"/>
    <tableColumn id="8" xr3:uid="{87582A4B-C6E1-459B-9800-05571557ACEC}" name="รายการเบิก_x000a_คอมขายเพิ่มเติม_x000a_(เป้าตามกำหนด)_x000a_100-200%" totalsRowFunction="sum" dataDxfId="36" totalsRowDxfId="35" dataCellStyle="Comma"/>
    <tableColumn id="9" xr3:uid="{80B11174-88F7-481E-8588-DCC205A7F65B}" name="รายการเบิก_x000a_คอมขาย" totalsRowFunction="sum" dataDxfId="34" totalsRowDxfId="33" dataCellStyle="Comma"/>
    <tableColumn id="22" xr3:uid="{7E1E6494-3D75-42D9-9462-3378DBD97459}" name="ค่าขายอุปกรณ์" totalsRowFunction="sum" dataDxfId="32" totalsRowDxfId="31" dataCellStyle="Comma"/>
    <tableColumn id="4" xr3:uid="{6F575235-48BB-483E-BFE9-88158E351789}" name="ต้นทุนค่าขายอุปกรณ์" totalsRowFunction="sum" dataDxfId="30" totalsRowDxfId="29"/>
    <tableColumn id="6" xr3:uid="{7DF313D9-AB2D-4BE0-82F9-C19A4E538983}" name="คอมฯอุปกรณ์_x000a_ 5%" totalsRowFunction="sum" dataDxfId="28" totalsRowDxfId="27"/>
    <tableColumn id="26" xr3:uid="{B2B3E80A-ECD8-4B32-8E0F-D6A42BE9B960}" name="คอมฯ อุปกรณ์_x000a_25%" totalsRowFunction="sum" dataDxfId="26" totalsRowDxfId="25" dataCellStyle="Comma"/>
    <tableColumn id="13" xr3:uid="{580055DC-2FBC-4D00-BA82-8376F27591FF}" name="Total_x000a_คอมฯ อุปกรณ์" dataDxfId="24" totalsRowDxfId="23" dataCellStyle="Comma"/>
    <tableColumn id="15" xr3:uid="{52CA07EB-D357-46DC-8FE4-B6971D41F453}" name="ค่าติดตั้ง/ค่าเชื่อมสัญญาณ" dataDxfId="22" totalsRowDxfId="21" dataCellStyle="Comma"/>
    <tableColumn id="17" xr3:uid="{4EC6B6AD-0201-4110-8789-0A3FD486D800}" name="ต้นทุนค่าติดตั้ง/ค่าเชื่อมสัญญาณ" dataDxfId="20" totalsRowDxfId="19" dataCellStyle="Comma"/>
    <tableColumn id="16" xr3:uid="{95E16324-276E-48DC-8203-FB2D58BA6719}" name="Total _x000a_คอมฯค่าติดตั้ง/ค่าเชื่อมสัญญาณ" totalsRowFunction="sum" dataDxfId="18" totalsRowDxfId="17" dataCellStyle="Comma"/>
    <tableColumn id="3" xr3:uid="{02A9AB69-FFEB-4867-B132-52FAADBD4D7A}" name="รวมค่าคอมฯ" totalsRowFunction="sum" dataDxfId="16" totalsRowDxfId="15"/>
    <tableColumn id="11" xr3:uid="{323E8EBB-672E-49FF-886B-83397B13954F}" name="เลขที่ใบกำกับ/ใบเสร็จรับเงิน" totalsRowFunction="sum" dataDxfId="14" totalsRowDxfId="13"/>
    <tableColumn id="7" xr3:uid="{BCF445C2-E016-4A4B-AED8-A6BAA3F6BE25}" name="เลขที่นำส่งเงิน_x000a_" totalsRowFunction="sum" dataDxfId="12" totalsRowDxfId="11"/>
    <tableColumn id="14" xr3:uid="{0FC5A296-C82E-487E-BCC6-7040C9EE9F00}" name="เขตการขาย" dataDxfId="10" totalsRowDxfId="9"/>
  </tableColumns>
  <tableStyleInfo name="TableStyleLight1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7FA57-723D-4B5E-A41E-9DB34E106A85}">
  <dimension ref="B1:C20"/>
  <sheetViews>
    <sheetView workbookViewId="0">
      <selection activeCell="B12" sqref="B12"/>
    </sheetView>
  </sheetViews>
  <sheetFormatPr defaultRowHeight="13.2"/>
  <cols>
    <col min="2" max="2" width="26.44140625" bestFit="1" customWidth="1"/>
    <col min="3" max="3" width="29.21875" bestFit="1" customWidth="1"/>
  </cols>
  <sheetData>
    <row r="1" spans="2:3" ht="27" thickBot="1">
      <c r="B1" s="147" t="s">
        <v>64</v>
      </c>
      <c r="C1" s="147" t="s">
        <v>49</v>
      </c>
    </row>
    <row r="2" spans="2:3" ht="13.8">
      <c r="B2" s="149" t="s">
        <v>21</v>
      </c>
      <c r="C2" s="148" t="s">
        <v>110</v>
      </c>
    </row>
    <row r="3" spans="2:3" ht="13.8">
      <c r="B3" s="149" t="s">
        <v>86</v>
      </c>
      <c r="C3" s="148" t="s">
        <v>46</v>
      </c>
    </row>
    <row r="4" spans="2:3" ht="13.8">
      <c r="B4" s="149" t="s">
        <v>87</v>
      </c>
      <c r="C4" s="148" t="s">
        <v>70</v>
      </c>
    </row>
    <row r="5" spans="2:3" ht="13.8">
      <c r="B5" s="149" t="s">
        <v>88</v>
      </c>
      <c r="C5" s="148" t="s">
        <v>50</v>
      </c>
    </row>
    <row r="6" spans="2:3" ht="13.8">
      <c r="B6" s="149" t="s">
        <v>68</v>
      </c>
      <c r="C6" s="148" t="s">
        <v>51</v>
      </c>
    </row>
    <row r="7" spans="2:3" ht="13.8">
      <c r="B7" s="149" t="s">
        <v>80</v>
      </c>
      <c r="C7" s="148" t="s">
        <v>52</v>
      </c>
    </row>
    <row r="8" spans="2:3" ht="13.8">
      <c r="B8" s="149" t="s">
        <v>82</v>
      </c>
      <c r="C8" s="148" t="s">
        <v>53</v>
      </c>
    </row>
    <row r="9" spans="2:3" ht="13.8">
      <c r="B9" s="149" t="s">
        <v>83</v>
      </c>
      <c r="C9" s="148" t="s">
        <v>54</v>
      </c>
    </row>
    <row r="10" spans="2:3" ht="13.8">
      <c r="B10" s="149" t="s">
        <v>84</v>
      </c>
      <c r="C10" s="148" t="s">
        <v>55</v>
      </c>
    </row>
    <row r="11" spans="2:3" ht="13.8">
      <c r="B11" s="149" t="s">
        <v>85</v>
      </c>
      <c r="C11" s="148" t="s">
        <v>47</v>
      </c>
    </row>
    <row r="12" spans="2:3" ht="13.8">
      <c r="B12" s="149" t="s">
        <v>168</v>
      </c>
      <c r="C12" s="148" t="s">
        <v>56</v>
      </c>
    </row>
    <row r="13" spans="2:3" ht="13.8">
      <c r="B13" s="149" t="s">
        <v>81</v>
      </c>
      <c r="C13" s="148" t="s">
        <v>57</v>
      </c>
    </row>
    <row r="14" spans="2:3" ht="13.8">
      <c r="B14" s="149" t="s">
        <v>103</v>
      </c>
      <c r="C14" s="148" t="s">
        <v>58</v>
      </c>
    </row>
    <row r="15" spans="2:3" ht="13.8">
      <c r="B15" t="s">
        <v>79</v>
      </c>
      <c r="C15" s="148" t="s">
        <v>59</v>
      </c>
    </row>
    <row r="16" spans="2:3" ht="13.8">
      <c r="B16" s="149" t="s">
        <v>78</v>
      </c>
      <c r="C16" s="148" t="s">
        <v>60</v>
      </c>
    </row>
    <row r="17" spans="2:3" ht="13.8">
      <c r="B17" t="s">
        <v>69</v>
      </c>
      <c r="C17" s="148" t="s">
        <v>61</v>
      </c>
    </row>
    <row r="18" spans="2:3" ht="13.8">
      <c r="B18" t="s">
        <v>36</v>
      </c>
      <c r="C18" s="148" t="s">
        <v>48</v>
      </c>
    </row>
    <row r="19" spans="2:3" ht="13.8">
      <c r="B19" t="s">
        <v>65</v>
      </c>
      <c r="C19" s="148" t="s">
        <v>62</v>
      </c>
    </row>
    <row r="20" spans="2:3" ht="13.8">
      <c r="B20" t="s">
        <v>18</v>
      </c>
      <c r="C20" s="148" t="s">
        <v>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595A4-DE15-4FC2-90A7-452F4A3E48B0}">
  <sheetPr codeName="Sheet2">
    <tabColor indexed="25"/>
    <pageSetUpPr fitToPage="1"/>
  </sheetPr>
  <dimension ref="A1:W91"/>
  <sheetViews>
    <sheetView tabSelected="1" zoomScale="70" zoomScaleNormal="70" workbookViewId="0">
      <pane xSplit="7" ySplit="5" topLeftCell="H6" activePane="bottomRight" state="frozen"/>
      <selection pane="topRight" activeCell="F1" sqref="F1"/>
      <selection pane="bottomLeft" activeCell="A6" sqref="A6"/>
      <selection pane="bottomRight" activeCell="F17" sqref="F17"/>
    </sheetView>
  </sheetViews>
  <sheetFormatPr defaultColWidth="0" defaultRowHeight="0" customHeight="1" zeroHeight="1"/>
  <cols>
    <col min="1" max="1" width="9.77734375" style="194" customWidth="1"/>
    <col min="2" max="2" width="19.33203125" style="194" bestFit="1" customWidth="1"/>
    <col min="3" max="3" width="31.44140625" style="194" customWidth="1"/>
    <col min="4" max="4" width="25.44140625" style="213" bestFit="1" customWidth="1"/>
    <col min="5" max="5" width="25" style="213" bestFit="1" customWidth="1"/>
    <col min="6" max="6" width="16.77734375" style="214" customWidth="1"/>
    <col min="7" max="7" width="19.6640625" style="203" customWidth="1"/>
    <col min="8" max="8" width="21.21875" style="215" customWidth="1"/>
    <col min="9" max="9" width="19.33203125" style="215" customWidth="1"/>
    <col min="10" max="11" width="19.109375" style="214" customWidth="1"/>
    <col min="12" max="13" width="17.33203125" style="202" customWidth="1"/>
    <col min="14" max="17" width="17.77734375" style="215" customWidth="1"/>
    <col min="18" max="18" width="20.109375" style="202" customWidth="1"/>
    <col min="19" max="19" width="22.21875" style="202" bestFit="1" customWidth="1"/>
    <col min="20" max="20" width="22" style="202" customWidth="1"/>
    <col min="21" max="21" width="17" style="204" customWidth="1"/>
    <col min="22" max="22" width="0" style="219" hidden="1"/>
    <col min="23" max="23" width="2.77734375" style="202" customWidth="1"/>
    <col min="24" max="24" width="15.5546875" style="194" customWidth="1"/>
    <col min="25" max="25" width="0" style="194" hidden="1"/>
    <col min="26" max="26" width="16.6640625" style="194" customWidth="1"/>
    <col min="27" max="27" width="17.44140625" style="194" customWidth="1"/>
    <col min="28" max="29" width="0" style="194" hidden="1"/>
    <col min="30" max="32" width="15.33203125" style="194" customWidth="1"/>
    <col min="33" max="33" width="17" style="194" customWidth="1"/>
    <col min="34" max="34" width="0" style="194" hidden="1"/>
    <col min="35" max="36" width="15.5546875" style="194" customWidth="1"/>
    <col min="37" max="37" width="13.6640625" style="194" customWidth="1"/>
    <col min="38" max="38" width="9" style="194" customWidth="1"/>
    <col min="39" max="39" width="49.88671875" style="194" customWidth="1"/>
    <col min="40" max="40" width="0" style="194" hidden="1"/>
    <col min="41" max="42" width="15.88671875" style="194" customWidth="1"/>
    <col min="43" max="43" width="14.5546875" style="194" customWidth="1"/>
    <col min="44" max="44" width="16.33203125" style="194" customWidth="1"/>
    <col min="45" max="45" width="18.109375" style="194" customWidth="1"/>
    <col min="46" max="46" width="14.109375" style="194" customWidth="1"/>
    <col min="47" max="273" width="0" style="194" hidden="1"/>
    <col min="274" max="274" width="7.5546875" style="194" customWidth="1"/>
    <col min="275" max="275" width="36.77734375" style="194" customWidth="1"/>
    <col min="276" max="277" width="0" style="194" hidden="1"/>
    <col min="278" max="278" width="16.6640625" style="194" customWidth="1"/>
    <col min="279" max="279" width="17.33203125" style="194" customWidth="1"/>
    <col min="280" max="280" width="15.5546875" style="194" customWidth="1"/>
    <col min="281" max="281" width="0" style="194" hidden="1"/>
    <col min="282" max="282" width="16.6640625" style="194" customWidth="1"/>
    <col min="283" max="283" width="17.44140625" style="194" customWidth="1"/>
    <col min="284" max="285" width="0" style="194" hidden="1"/>
    <col min="286" max="288" width="15.33203125" style="194" customWidth="1"/>
    <col min="289" max="289" width="17" style="194" customWidth="1"/>
    <col min="290" max="290" width="0" style="194" hidden="1"/>
    <col min="291" max="292" width="15.5546875" style="194" customWidth="1"/>
    <col min="293" max="293" width="13.6640625" style="194" customWidth="1"/>
    <col min="294" max="294" width="9" style="194" customWidth="1"/>
    <col min="295" max="295" width="49.88671875" style="194" customWidth="1"/>
    <col min="296" max="296" width="0" style="194" hidden="1"/>
    <col min="297" max="298" width="15.88671875" style="194" customWidth="1"/>
    <col min="299" max="299" width="14.5546875" style="194" customWidth="1"/>
    <col min="300" max="300" width="16.33203125" style="194" customWidth="1"/>
    <col min="301" max="301" width="18.109375" style="194" customWidth="1"/>
    <col min="302" max="302" width="14.109375" style="194" customWidth="1"/>
    <col min="303" max="529" width="0" style="194" hidden="1"/>
    <col min="530" max="530" width="7.5546875" style="194" customWidth="1"/>
    <col min="531" max="531" width="36.77734375" style="194" customWidth="1"/>
    <col min="532" max="533" width="0" style="194" hidden="1"/>
    <col min="534" max="534" width="16.6640625" style="194" customWidth="1"/>
    <col min="535" max="535" width="17.33203125" style="194" customWidth="1"/>
    <col min="536" max="536" width="15.5546875" style="194" customWidth="1"/>
    <col min="537" max="537" width="0" style="194" hidden="1"/>
    <col min="538" max="538" width="16.6640625" style="194" customWidth="1"/>
    <col min="539" max="539" width="17.44140625" style="194" customWidth="1"/>
    <col min="540" max="541" width="0" style="194" hidden="1"/>
    <col min="542" max="544" width="15.33203125" style="194" customWidth="1"/>
    <col min="545" max="545" width="17" style="194" customWidth="1"/>
    <col min="546" max="546" width="0" style="194" hidden="1"/>
    <col min="547" max="548" width="15.5546875" style="194" customWidth="1"/>
    <col min="549" max="549" width="13.6640625" style="194" customWidth="1"/>
    <col min="550" max="550" width="9" style="194" customWidth="1"/>
    <col min="551" max="551" width="49.88671875" style="194" customWidth="1"/>
    <col min="552" max="552" width="0" style="194" hidden="1"/>
    <col min="553" max="554" width="15.88671875" style="194" customWidth="1"/>
    <col min="555" max="555" width="14.5546875" style="194" customWidth="1"/>
    <col min="556" max="556" width="16.33203125" style="194" customWidth="1"/>
    <col min="557" max="557" width="18.109375" style="194" customWidth="1"/>
    <col min="558" max="558" width="14.109375" style="194" customWidth="1"/>
    <col min="559" max="785" width="0" style="194" hidden="1"/>
    <col min="786" max="786" width="7.5546875" style="194" customWidth="1"/>
    <col min="787" max="787" width="36.77734375" style="194" customWidth="1"/>
    <col min="788" max="789" width="0" style="194" hidden="1"/>
    <col min="790" max="790" width="16.6640625" style="194" customWidth="1"/>
    <col min="791" max="791" width="17.33203125" style="194" customWidth="1"/>
    <col min="792" max="792" width="15.5546875" style="194" customWidth="1"/>
    <col min="793" max="793" width="0" style="194" hidden="1"/>
    <col min="794" max="794" width="16.6640625" style="194" customWidth="1"/>
    <col min="795" max="795" width="17.44140625" style="194" customWidth="1"/>
    <col min="796" max="797" width="0" style="194" hidden="1"/>
    <col min="798" max="800" width="15.33203125" style="194" customWidth="1"/>
    <col min="801" max="801" width="17" style="194" customWidth="1"/>
    <col min="802" max="802" width="0" style="194" hidden="1"/>
    <col min="803" max="804" width="15.5546875" style="194" customWidth="1"/>
    <col min="805" max="805" width="13.6640625" style="194" customWidth="1"/>
    <col min="806" max="806" width="9" style="194" customWidth="1"/>
    <col min="807" max="807" width="49.88671875" style="194" customWidth="1"/>
    <col min="808" max="808" width="0" style="194" hidden="1"/>
    <col min="809" max="810" width="15.88671875" style="194" customWidth="1"/>
    <col min="811" max="811" width="14.5546875" style="194" customWidth="1"/>
    <col min="812" max="812" width="16.33203125" style="194" customWidth="1"/>
    <col min="813" max="813" width="18.109375" style="194" customWidth="1"/>
    <col min="814" max="814" width="14.109375" style="194" customWidth="1"/>
    <col min="815" max="1041" width="0" style="194" hidden="1"/>
    <col min="1042" max="1042" width="7.5546875" style="194" customWidth="1"/>
    <col min="1043" max="1043" width="36.77734375" style="194" customWidth="1"/>
    <col min="1044" max="1045" width="0" style="194" hidden="1"/>
    <col min="1046" max="1046" width="16.6640625" style="194" customWidth="1"/>
    <col min="1047" max="1047" width="17.33203125" style="194" customWidth="1"/>
    <col min="1048" max="1048" width="15.5546875" style="194" customWidth="1"/>
    <col min="1049" max="1049" width="0" style="194" hidden="1"/>
    <col min="1050" max="1050" width="16.6640625" style="194" customWidth="1"/>
    <col min="1051" max="1051" width="17.44140625" style="194" customWidth="1"/>
    <col min="1052" max="1053" width="0" style="194" hidden="1"/>
    <col min="1054" max="1056" width="15.33203125" style="194" customWidth="1"/>
    <col min="1057" max="1057" width="17" style="194" customWidth="1"/>
    <col min="1058" max="1058" width="0" style="194" hidden="1"/>
    <col min="1059" max="1060" width="15.5546875" style="194" customWidth="1"/>
    <col min="1061" max="1061" width="13.6640625" style="194" customWidth="1"/>
    <col min="1062" max="1062" width="9" style="194" customWidth="1"/>
    <col min="1063" max="1063" width="49.88671875" style="194" customWidth="1"/>
    <col min="1064" max="1064" width="0" style="194" hidden="1"/>
    <col min="1065" max="1066" width="15.88671875" style="194" customWidth="1"/>
    <col min="1067" max="1067" width="14.5546875" style="194" customWidth="1"/>
    <col min="1068" max="1068" width="16.33203125" style="194" customWidth="1"/>
    <col min="1069" max="1069" width="18.109375" style="194" customWidth="1"/>
    <col min="1070" max="1070" width="14.109375" style="194" customWidth="1"/>
    <col min="1071" max="1297" width="0" style="194" hidden="1"/>
    <col min="1298" max="1298" width="7.5546875" style="194" customWidth="1"/>
    <col min="1299" max="1299" width="36.77734375" style="194" customWidth="1"/>
    <col min="1300" max="1301" width="0" style="194" hidden="1"/>
    <col min="1302" max="1302" width="16.6640625" style="194" customWidth="1"/>
    <col min="1303" max="1303" width="17.33203125" style="194" customWidth="1"/>
    <col min="1304" max="1304" width="15.5546875" style="194" customWidth="1"/>
    <col min="1305" max="1305" width="0" style="194" hidden="1"/>
    <col min="1306" max="1306" width="16.6640625" style="194" customWidth="1"/>
    <col min="1307" max="1307" width="17.44140625" style="194" customWidth="1"/>
    <col min="1308" max="1309" width="0" style="194" hidden="1"/>
    <col min="1310" max="1312" width="15.33203125" style="194" customWidth="1"/>
    <col min="1313" max="1313" width="17" style="194" customWidth="1"/>
    <col min="1314" max="1314" width="0" style="194" hidden="1"/>
    <col min="1315" max="1316" width="15.5546875" style="194" customWidth="1"/>
    <col min="1317" max="1317" width="13.6640625" style="194" customWidth="1"/>
    <col min="1318" max="1318" width="9" style="194" customWidth="1"/>
    <col min="1319" max="1319" width="49.88671875" style="194" customWidth="1"/>
    <col min="1320" max="1320" width="0" style="194" hidden="1"/>
    <col min="1321" max="1322" width="15.88671875" style="194" customWidth="1"/>
    <col min="1323" max="1323" width="14.5546875" style="194" customWidth="1"/>
    <col min="1324" max="1324" width="16.33203125" style="194" customWidth="1"/>
    <col min="1325" max="1325" width="18.109375" style="194" customWidth="1"/>
    <col min="1326" max="1326" width="14.109375" style="194" customWidth="1"/>
    <col min="1327" max="1553" width="0" style="194" hidden="1"/>
    <col min="1554" max="1554" width="7.5546875" style="194" customWidth="1"/>
    <col min="1555" max="1555" width="36.77734375" style="194" customWidth="1"/>
    <col min="1556" max="1557" width="0" style="194" hidden="1"/>
    <col min="1558" max="1558" width="16.6640625" style="194" customWidth="1"/>
    <col min="1559" max="1559" width="17.33203125" style="194" customWidth="1"/>
    <col min="1560" max="1560" width="15.5546875" style="194" customWidth="1"/>
    <col min="1561" max="1561" width="0" style="194" hidden="1"/>
    <col min="1562" max="1562" width="16.6640625" style="194" customWidth="1"/>
    <col min="1563" max="1563" width="17.44140625" style="194" customWidth="1"/>
    <col min="1564" max="1565" width="0" style="194" hidden="1"/>
    <col min="1566" max="1568" width="15.33203125" style="194" customWidth="1"/>
    <col min="1569" max="1569" width="17" style="194" customWidth="1"/>
    <col min="1570" max="1570" width="0" style="194" hidden="1"/>
    <col min="1571" max="1572" width="15.5546875" style="194" customWidth="1"/>
    <col min="1573" max="1573" width="13.6640625" style="194" customWidth="1"/>
    <col min="1574" max="1574" width="9" style="194" customWidth="1"/>
    <col min="1575" max="1575" width="49.88671875" style="194" customWidth="1"/>
    <col min="1576" max="1576" width="0" style="194" hidden="1"/>
    <col min="1577" max="1578" width="15.88671875" style="194" customWidth="1"/>
    <col min="1579" max="1579" width="14.5546875" style="194" customWidth="1"/>
    <col min="1580" max="1580" width="16.33203125" style="194" customWidth="1"/>
    <col min="1581" max="1581" width="18.109375" style="194" customWidth="1"/>
    <col min="1582" max="1582" width="14.109375" style="194" customWidth="1"/>
    <col min="1583" max="1809" width="0" style="194" hidden="1"/>
    <col min="1810" max="1810" width="7.5546875" style="194" customWidth="1"/>
    <col min="1811" max="1811" width="36.77734375" style="194" customWidth="1"/>
    <col min="1812" max="1813" width="0" style="194" hidden="1"/>
    <col min="1814" max="1814" width="16.6640625" style="194" customWidth="1"/>
    <col min="1815" max="1815" width="17.33203125" style="194" customWidth="1"/>
    <col min="1816" max="1816" width="15.5546875" style="194" customWidth="1"/>
    <col min="1817" max="1817" width="0" style="194" hidden="1"/>
    <col min="1818" max="1818" width="16.6640625" style="194" customWidth="1"/>
    <col min="1819" max="1819" width="17.44140625" style="194" customWidth="1"/>
    <col min="1820" max="1821" width="0" style="194" hidden="1"/>
    <col min="1822" max="1824" width="15.33203125" style="194" customWidth="1"/>
    <col min="1825" max="1825" width="17" style="194" customWidth="1"/>
    <col min="1826" max="1826" width="0" style="194" hidden="1"/>
    <col min="1827" max="1828" width="15.5546875" style="194" customWidth="1"/>
    <col min="1829" max="1829" width="13.6640625" style="194" customWidth="1"/>
    <col min="1830" max="1830" width="9" style="194" customWidth="1"/>
    <col min="1831" max="1831" width="49.88671875" style="194" customWidth="1"/>
    <col min="1832" max="1832" width="0" style="194" hidden="1"/>
    <col min="1833" max="1834" width="15.88671875" style="194" customWidth="1"/>
    <col min="1835" max="1835" width="14.5546875" style="194" customWidth="1"/>
    <col min="1836" max="1836" width="16.33203125" style="194" customWidth="1"/>
    <col min="1837" max="1837" width="18.109375" style="194" customWidth="1"/>
    <col min="1838" max="1838" width="14.109375" style="194" customWidth="1"/>
    <col min="1839" max="2065" width="0" style="194" hidden="1"/>
    <col min="2066" max="2066" width="7.5546875" style="194" customWidth="1"/>
    <col min="2067" max="2067" width="36.77734375" style="194" customWidth="1"/>
    <col min="2068" max="2069" width="0" style="194" hidden="1"/>
    <col min="2070" max="2070" width="16.6640625" style="194" customWidth="1"/>
    <col min="2071" max="2071" width="17.33203125" style="194" customWidth="1"/>
    <col min="2072" max="2072" width="15.5546875" style="194" customWidth="1"/>
    <col min="2073" max="2073" width="0" style="194" hidden="1"/>
    <col min="2074" max="2074" width="16.6640625" style="194" customWidth="1"/>
    <col min="2075" max="2075" width="17.44140625" style="194" customWidth="1"/>
    <col min="2076" max="2077" width="0" style="194" hidden="1"/>
    <col min="2078" max="2080" width="15.33203125" style="194" customWidth="1"/>
    <col min="2081" max="2081" width="17" style="194" customWidth="1"/>
    <col min="2082" max="2082" width="0" style="194" hidden="1"/>
    <col min="2083" max="2084" width="15.5546875" style="194" customWidth="1"/>
    <col min="2085" max="2085" width="13.6640625" style="194" customWidth="1"/>
    <col min="2086" max="2086" width="9" style="194" customWidth="1"/>
    <col min="2087" max="2087" width="49.88671875" style="194" customWidth="1"/>
    <col min="2088" max="2088" width="0" style="194" hidden="1"/>
    <col min="2089" max="2090" width="15.88671875" style="194" customWidth="1"/>
    <col min="2091" max="2091" width="14.5546875" style="194" customWidth="1"/>
    <col min="2092" max="2092" width="16.33203125" style="194" customWidth="1"/>
    <col min="2093" max="2093" width="18.109375" style="194" customWidth="1"/>
    <col min="2094" max="2094" width="14.109375" style="194" customWidth="1"/>
    <col min="2095" max="2321" width="0" style="194" hidden="1"/>
    <col min="2322" max="2322" width="7.5546875" style="194" customWidth="1"/>
    <col min="2323" max="2323" width="36.77734375" style="194" customWidth="1"/>
    <col min="2324" max="2325" width="0" style="194" hidden="1"/>
    <col min="2326" max="2326" width="16.6640625" style="194" customWidth="1"/>
    <col min="2327" max="2327" width="17.33203125" style="194" customWidth="1"/>
    <col min="2328" max="2328" width="15.5546875" style="194" customWidth="1"/>
    <col min="2329" max="2329" width="0" style="194" hidden="1"/>
    <col min="2330" max="2330" width="16.6640625" style="194" customWidth="1"/>
    <col min="2331" max="2331" width="17.44140625" style="194" customWidth="1"/>
    <col min="2332" max="2333" width="0" style="194" hidden="1"/>
    <col min="2334" max="2336" width="15.33203125" style="194" customWidth="1"/>
    <col min="2337" max="2337" width="17" style="194" customWidth="1"/>
    <col min="2338" max="2338" width="0" style="194" hidden="1"/>
    <col min="2339" max="2340" width="15.5546875" style="194" customWidth="1"/>
    <col min="2341" max="2341" width="13.6640625" style="194" customWidth="1"/>
    <col min="2342" max="2342" width="9" style="194" customWidth="1"/>
    <col min="2343" max="2343" width="49.88671875" style="194" customWidth="1"/>
    <col min="2344" max="2344" width="0" style="194" hidden="1"/>
    <col min="2345" max="2346" width="15.88671875" style="194" customWidth="1"/>
    <col min="2347" max="2347" width="14.5546875" style="194" customWidth="1"/>
    <col min="2348" max="2348" width="16.33203125" style="194" customWidth="1"/>
    <col min="2349" max="2349" width="18.109375" style="194" customWidth="1"/>
    <col min="2350" max="2350" width="14.109375" style="194" customWidth="1"/>
    <col min="2351" max="2577" width="0" style="194" hidden="1"/>
    <col min="2578" max="2578" width="7.5546875" style="194" customWidth="1"/>
    <col min="2579" max="2579" width="36.77734375" style="194" customWidth="1"/>
    <col min="2580" max="2581" width="0" style="194" hidden="1"/>
    <col min="2582" max="2582" width="16.6640625" style="194" customWidth="1"/>
    <col min="2583" max="2583" width="17.33203125" style="194" customWidth="1"/>
    <col min="2584" max="2584" width="15.5546875" style="194" customWidth="1"/>
    <col min="2585" max="2585" width="0" style="194" hidden="1"/>
    <col min="2586" max="2586" width="16.6640625" style="194" customWidth="1"/>
    <col min="2587" max="2587" width="17.44140625" style="194" customWidth="1"/>
    <col min="2588" max="2589" width="0" style="194" hidden="1"/>
    <col min="2590" max="2592" width="15.33203125" style="194" customWidth="1"/>
    <col min="2593" max="2593" width="17" style="194" customWidth="1"/>
    <col min="2594" max="2594" width="0" style="194" hidden="1"/>
    <col min="2595" max="2596" width="15.5546875" style="194" customWidth="1"/>
    <col min="2597" max="2597" width="13.6640625" style="194" customWidth="1"/>
    <col min="2598" max="2598" width="9" style="194" customWidth="1"/>
    <col min="2599" max="2599" width="49.88671875" style="194" customWidth="1"/>
    <col min="2600" max="2600" width="0" style="194" hidden="1"/>
    <col min="2601" max="2602" width="15.88671875" style="194" customWidth="1"/>
    <col min="2603" max="2603" width="14.5546875" style="194" customWidth="1"/>
    <col min="2604" max="2604" width="16.33203125" style="194" customWidth="1"/>
    <col min="2605" max="2605" width="18.109375" style="194" customWidth="1"/>
    <col min="2606" max="2606" width="14.109375" style="194" customWidth="1"/>
    <col min="2607" max="2833" width="0" style="194" hidden="1"/>
    <col min="2834" max="2834" width="7.5546875" style="194" customWidth="1"/>
    <col min="2835" max="2835" width="36.77734375" style="194" customWidth="1"/>
    <col min="2836" max="2837" width="0" style="194" hidden="1"/>
    <col min="2838" max="2838" width="16.6640625" style="194" customWidth="1"/>
    <col min="2839" max="2839" width="17.33203125" style="194" customWidth="1"/>
    <col min="2840" max="2840" width="15.5546875" style="194" customWidth="1"/>
    <col min="2841" max="2841" width="0" style="194" hidden="1"/>
    <col min="2842" max="2842" width="16.6640625" style="194" customWidth="1"/>
    <col min="2843" max="2843" width="17.44140625" style="194" customWidth="1"/>
    <col min="2844" max="2845" width="0" style="194" hidden="1"/>
    <col min="2846" max="2848" width="15.33203125" style="194" customWidth="1"/>
    <col min="2849" max="2849" width="17" style="194" customWidth="1"/>
    <col min="2850" max="2850" width="0" style="194" hidden="1"/>
    <col min="2851" max="2852" width="15.5546875" style="194" customWidth="1"/>
    <col min="2853" max="2853" width="13.6640625" style="194" customWidth="1"/>
    <col min="2854" max="2854" width="9" style="194" customWidth="1"/>
    <col min="2855" max="2855" width="49.88671875" style="194" customWidth="1"/>
    <col min="2856" max="2856" width="0" style="194" hidden="1"/>
    <col min="2857" max="2858" width="15.88671875" style="194" customWidth="1"/>
    <col min="2859" max="2859" width="14.5546875" style="194" customWidth="1"/>
    <col min="2860" max="2860" width="16.33203125" style="194" customWidth="1"/>
    <col min="2861" max="2861" width="18.109375" style="194" customWidth="1"/>
    <col min="2862" max="2862" width="14.109375" style="194" customWidth="1"/>
    <col min="2863" max="3089" width="0" style="194" hidden="1"/>
    <col min="3090" max="3090" width="7.5546875" style="194" customWidth="1"/>
    <col min="3091" max="3091" width="36.77734375" style="194" customWidth="1"/>
    <col min="3092" max="3093" width="0" style="194" hidden="1"/>
    <col min="3094" max="3094" width="16.6640625" style="194" customWidth="1"/>
    <col min="3095" max="3095" width="17.33203125" style="194" customWidth="1"/>
    <col min="3096" max="3096" width="15.5546875" style="194" customWidth="1"/>
    <col min="3097" max="3097" width="0" style="194" hidden="1"/>
    <col min="3098" max="3098" width="16.6640625" style="194" customWidth="1"/>
    <col min="3099" max="3099" width="17.44140625" style="194" customWidth="1"/>
    <col min="3100" max="3101" width="0" style="194" hidden="1"/>
    <col min="3102" max="3104" width="15.33203125" style="194" customWidth="1"/>
    <col min="3105" max="3105" width="17" style="194" customWidth="1"/>
    <col min="3106" max="3106" width="0" style="194" hidden="1"/>
    <col min="3107" max="3108" width="15.5546875" style="194" customWidth="1"/>
    <col min="3109" max="3109" width="13.6640625" style="194" customWidth="1"/>
    <col min="3110" max="3110" width="9" style="194" customWidth="1"/>
    <col min="3111" max="3111" width="49.88671875" style="194" customWidth="1"/>
    <col min="3112" max="3112" width="0" style="194" hidden="1"/>
    <col min="3113" max="3114" width="15.88671875" style="194" customWidth="1"/>
    <col min="3115" max="3115" width="14.5546875" style="194" customWidth="1"/>
    <col min="3116" max="3116" width="16.33203125" style="194" customWidth="1"/>
    <col min="3117" max="3117" width="18.109375" style="194" customWidth="1"/>
    <col min="3118" max="3118" width="14.109375" style="194" customWidth="1"/>
    <col min="3119" max="3345" width="0" style="194" hidden="1"/>
    <col min="3346" max="3346" width="7.5546875" style="194" customWidth="1"/>
    <col min="3347" max="3347" width="36.77734375" style="194" customWidth="1"/>
    <col min="3348" max="3349" width="0" style="194" hidden="1"/>
    <col min="3350" max="3350" width="16.6640625" style="194" customWidth="1"/>
    <col min="3351" max="3351" width="17.33203125" style="194" customWidth="1"/>
    <col min="3352" max="3352" width="15.5546875" style="194" customWidth="1"/>
    <col min="3353" max="3353" width="0" style="194" hidden="1"/>
    <col min="3354" max="3354" width="16.6640625" style="194" customWidth="1"/>
    <col min="3355" max="3355" width="17.44140625" style="194" customWidth="1"/>
    <col min="3356" max="3357" width="0" style="194" hidden="1"/>
    <col min="3358" max="3360" width="15.33203125" style="194" customWidth="1"/>
    <col min="3361" max="3361" width="17" style="194" customWidth="1"/>
    <col min="3362" max="3362" width="0" style="194" hidden="1"/>
    <col min="3363" max="3364" width="15.5546875" style="194" customWidth="1"/>
    <col min="3365" max="3365" width="13.6640625" style="194" customWidth="1"/>
    <col min="3366" max="3366" width="9" style="194" customWidth="1"/>
    <col min="3367" max="3367" width="49.88671875" style="194" customWidth="1"/>
    <col min="3368" max="3368" width="0" style="194" hidden="1"/>
    <col min="3369" max="3370" width="15.88671875" style="194" customWidth="1"/>
    <col min="3371" max="3371" width="14.5546875" style="194" customWidth="1"/>
    <col min="3372" max="3372" width="16.33203125" style="194" customWidth="1"/>
    <col min="3373" max="3373" width="18.109375" style="194" customWidth="1"/>
    <col min="3374" max="3374" width="14.109375" style="194" customWidth="1"/>
    <col min="3375" max="3601" width="0" style="194" hidden="1"/>
    <col min="3602" max="3602" width="7.5546875" style="194" customWidth="1"/>
    <col min="3603" max="3603" width="36.77734375" style="194" customWidth="1"/>
    <col min="3604" max="3605" width="0" style="194" hidden="1"/>
    <col min="3606" max="3606" width="16.6640625" style="194" customWidth="1"/>
    <col min="3607" max="3607" width="17.33203125" style="194" customWidth="1"/>
    <col min="3608" max="3608" width="15.5546875" style="194" customWidth="1"/>
    <col min="3609" max="3609" width="0" style="194" hidden="1"/>
    <col min="3610" max="3610" width="16.6640625" style="194" customWidth="1"/>
    <col min="3611" max="3611" width="17.44140625" style="194" customWidth="1"/>
    <col min="3612" max="3613" width="0" style="194" hidden="1"/>
    <col min="3614" max="3616" width="15.33203125" style="194" customWidth="1"/>
    <col min="3617" max="3617" width="17" style="194" customWidth="1"/>
    <col min="3618" max="3618" width="0" style="194" hidden="1"/>
    <col min="3619" max="3620" width="15.5546875" style="194" customWidth="1"/>
    <col min="3621" max="3621" width="13.6640625" style="194" customWidth="1"/>
    <col min="3622" max="3622" width="9" style="194" customWidth="1"/>
    <col min="3623" max="3623" width="49.88671875" style="194" customWidth="1"/>
    <col min="3624" max="3624" width="0" style="194" hidden="1"/>
    <col min="3625" max="3626" width="15.88671875" style="194" customWidth="1"/>
    <col min="3627" max="3627" width="14.5546875" style="194" customWidth="1"/>
    <col min="3628" max="3628" width="16.33203125" style="194" customWidth="1"/>
    <col min="3629" max="3629" width="18.109375" style="194" customWidth="1"/>
    <col min="3630" max="3630" width="14.109375" style="194" customWidth="1"/>
    <col min="3631" max="3857" width="0" style="194" hidden="1"/>
    <col min="3858" max="3858" width="7.5546875" style="194" customWidth="1"/>
    <col min="3859" max="3859" width="36.77734375" style="194" customWidth="1"/>
    <col min="3860" max="3861" width="0" style="194" hidden="1"/>
    <col min="3862" max="3862" width="16.6640625" style="194" customWidth="1"/>
    <col min="3863" max="3863" width="17.33203125" style="194" customWidth="1"/>
    <col min="3864" max="3864" width="15.5546875" style="194" customWidth="1"/>
    <col min="3865" max="3865" width="0" style="194" hidden="1"/>
    <col min="3866" max="3866" width="16.6640625" style="194" customWidth="1"/>
    <col min="3867" max="3867" width="17.44140625" style="194" customWidth="1"/>
    <col min="3868" max="3869" width="0" style="194" hidden="1"/>
    <col min="3870" max="3872" width="15.33203125" style="194" customWidth="1"/>
    <col min="3873" max="3873" width="17" style="194" customWidth="1"/>
    <col min="3874" max="3874" width="0" style="194" hidden="1"/>
    <col min="3875" max="3876" width="15.5546875" style="194" customWidth="1"/>
    <col min="3877" max="3877" width="13.6640625" style="194" customWidth="1"/>
    <col min="3878" max="3878" width="9" style="194" customWidth="1"/>
    <col min="3879" max="3879" width="49.88671875" style="194" customWidth="1"/>
    <col min="3880" max="3880" width="0" style="194" hidden="1"/>
    <col min="3881" max="3882" width="15.88671875" style="194" customWidth="1"/>
    <col min="3883" max="3883" width="14.5546875" style="194" customWidth="1"/>
    <col min="3884" max="3884" width="16.33203125" style="194" customWidth="1"/>
    <col min="3885" max="3885" width="18.109375" style="194" customWidth="1"/>
    <col min="3886" max="3886" width="14.109375" style="194" customWidth="1"/>
    <col min="3887" max="4113" width="0" style="194" hidden="1"/>
    <col min="4114" max="4114" width="7.5546875" style="194" customWidth="1"/>
    <col min="4115" max="4115" width="36.77734375" style="194" customWidth="1"/>
    <col min="4116" max="4117" width="0" style="194" hidden="1"/>
    <col min="4118" max="4118" width="16.6640625" style="194" customWidth="1"/>
    <col min="4119" max="4119" width="17.33203125" style="194" customWidth="1"/>
    <col min="4120" max="4120" width="15.5546875" style="194" customWidth="1"/>
    <col min="4121" max="4121" width="0" style="194" hidden="1"/>
    <col min="4122" max="4122" width="16.6640625" style="194" customWidth="1"/>
    <col min="4123" max="4123" width="17.44140625" style="194" customWidth="1"/>
    <col min="4124" max="4125" width="0" style="194" hidden="1"/>
    <col min="4126" max="4128" width="15.33203125" style="194" customWidth="1"/>
    <col min="4129" max="4129" width="17" style="194" customWidth="1"/>
    <col min="4130" max="4130" width="0" style="194" hidden="1"/>
    <col min="4131" max="4132" width="15.5546875" style="194" customWidth="1"/>
    <col min="4133" max="4133" width="13.6640625" style="194" customWidth="1"/>
    <col min="4134" max="4134" width="9" style="194" customWidth="1"/>
    <col min="4135" max="4135" width="49.88671875" style="194" customWidth="1"/>
    <col min="4136" max="4136" width="0" style="194" hidden="1"/>
    <col min="4137" max="4138" width="15.88671875" style="194" customWidth="1"/>
    <col min="4139" max="4139" width="14.5546875" style="194" customWidth="1"/>
    <col min="4140" max="4140" width="16.33203125" style="194" customWidth="1"/>
    <col min="4141" max="4141" width="18.109375" style="194" customWidth="1"/>
    <col min="4142" max="4142" width="14.109375" style="194" customWidth="1"/>
    <col min="4143" max="4369" width="0" style="194" hidden="1"/>
    <col min="4370" max="4370" width="7.5546875" style="194" customWidth="1"/>
    <col min="4371" max="4371" width="36.77734375" style="194" customWidth="1"/>
    <col min="4372" max="4373" width="0" style="194" hidden="1"/>
    <col min="4374" max="4374" width="16.6640625" style="194" customWidth="1"/>
    <col min="4375" max="4375" width="17.33203125" style="194" customWidth="1"/>
    <col min="4376" max="4376" width="15.5546875" style="194" customWidth="1"/>
    <col min="4377" max="4377" width="0" style="194" hidden="1"/>
    <col min="4378" max="4378" width="16.6640625" style="194" customWidth="1"/>
    <col min="4379" max="4379" width="17.44140625" style="194" customWidth="1"/>
    <col min="4380" max="4381" width="0" style="194" hidden="1"/>
    <col min="4382" max="4384" width="15.33203125" style="194" customWidth="1"/>
    <col min="4385" max="4385" width="17" style="194" customWidth="1"/>
    <col min="4386" max="4386" width="0" style="194" hidden="1"/>
    <col min="4387" max="4388" width="15.5546875" style="194" customWidth="1"/>
    <col min="4389" max="4389" width="13.6640625" style="194" customWidth="1"/>
    <col min="4390" max="4390" width="9" style="194" customWidth="1"/>
    <col min="4391" max="4391" width="49.88671875" style="194" customWidth="1"/>
    <col min="4392" max="4392" width="0" style="194" hidden="1"/>
    <col min="4393" max="4394" width="15.88671875" style="194" customWidth="1"/>
    <col min="4395" max="4395" width="14.5546875" style="194" customWidth="1"/>
    <col min="4396" max="4396" width="16.33203125" style="194" customWidth="1"/>
    <col min="4397" max="4397" width="18.109375" style="194" customWidth="1"/>
    <col min="4398" max="4398" width="14.109375" style="194" customWidth="1"/>
    <col min="4399" max="4625" width="0" style="194" hidden="1"/>
    <col min="4626" max="4626" width="7.5546875" style="194" customWidth="1"/>
    <col min="4627" max="4627" width="36.77734375" style="194" customWidth="1"/>
    <col min="4628" max="4629" width="0" style="194" hidden="1"/>
    <col min="4630" max="4630" width="16.6640625" style="194" customWidth="1"/>
    <col min="4631" max="4631" width="17.33203125" style="194" customWidth="1"/>
    <col min="4632" max="4632" width="15.5546875" style="194" customWidth="1"/>
    <col min="4633" max="4633" width="0" style="194" hidden="1"/>
    <col min="4634" max="4634" width="16.6640625" style="194" customWidth="1"/>
    <col min="4635" max="4635" width="17.44140625" style="194" customWidth="1"/>
    <col min="4636" max="4637" width="0" style="194" hidden="1"/>
    <col min="4638" max="4640" width="15.33203125" style="194" customWidth="1"/>
    <col min="4641" max="4641" width="17" style="194" customWidth="1"/>
    <col min="4642" max="4642" width="0" style="194" hidden="1"/>
    <col min="4643" max="4644" width="15.5546875" style="194" customWidth="1"/>
    <col min="4645" max="4645" width="13.6640625" style="194" customWidth="1"/>
    <col min="4646" max="4646" width="9" style="194" customWidth="1"/>
    <col min="4647" max="4647" width="49.88671875" style="194" customWidth="1"/>
    <col min="4648" max="4648" width="0" style="194" hidden="1"/>
    <col min="4649" max="4650" width="15.88671875" style="194" customWidth="1"/>
    <col min="4651" max="4651" width="14.5546875" style="194" customWidth="1"/>
    <col min="4652" max="4652" width="16.33203125" style="194" customWidth="1"/>
    <col min="4653" max="4653" width="18.109375" style="194" customWidth="1"/>
    <col min="4654" max="4654" width="14.109375" style="194" customWidth="1"/>
    <col min="4655" max="4881" width="0" style="194" hidden="1"/>
    <col min="4882" max="4882" width="7.5546875" style="194" customWidth="1"/>
    <col min="4883" max="4883" width="36.77734375" style="194" customWidth="1"/>
    <col min="4884" max="4885" width="0" style="194" hidden="1"/>
    <col min="4886" max="4886" width="16.6640625" style="194" customWidth="1"/>
    <col min="4887" max="4887" width="17.33203125" style="194" customWidth="1"/>
    <col min="4888" max="4888" width="15.5546875" style="194" customWidth="1"/>
    <col min="4889" max="4889" width="0" style="194" hidden="1"/>
    <col min="4890" max="4890" width="16.6640625" style="194" customWidth="1"/>
    <col min="4891" max="4891" width="17.44140625" style="194" customWidth="1"/>
    <col min="4892" max="4893" width="0" style="194" hidden="1"/>
    <col min="4894" max="4896" width="15.33203125" style="194" customWidth="1"/>
    <col min="4897" max="4897" width="17" style="194" customWidth="1"/>
    <col min="4898" max="4898" width="0" style="194" hidden="1"/>
    <col min="4899" max="4900" width="15.5546875" style="194" customWidth="1"/>
    <col min="4901" max="4901" width="13.6640625" style="194" customWidth="1"/>
    <col min="4902" max="4902" width="9" style="194" customWidth="1"/>
    <col min="4903" max="4903" width="49.88671875" style="194" customWidth="1"/>
    <col min="4904" max="4904" width="0" style="194" hidden="1"/>
    <col min="4905" max="4906" width="15.88671875" style="194" customWidth="1"/>
    <col min="4907" max="4907" width="14.5546875" style="194" customWidth="1"/>
    <col min="4908" max="4908" width="16.33203125" style="194" customWidth="1"/>
    <col min="4909" max="4909" width="18.109375" style="194" customWidth="1"/>
    <col min="4910" max="4910" width="14.109375" style="194" customWidth="1"/>
    <col min="4911" max="5137" width="0" style="194" hidden="1"/>
    <col min="5138" max="5138" width="7.5546875" style="194" customWidth="1"/>
    <col min="5139" max="5139" width="36.77734375" style="194" customWidth="1"/>
    <col min="5140" max="5141" width="0" style="194" hidden="1"/>
    <col min="5142" max="5142" width="16.6640625" style="194" customWidth="1"/>
    <col min="5143" max="5143" width="17.33203125" style="194" customWidth="1"/>
    <col min="5144" max="5144" width="15.5546875" style="194" customWidth="1"/>
    <col min="5145" max="5145" width="0" style="194" hidden="1"/>
    <col min="5146" max="5146" width="16.6640625" style="194" customWidth="1"/>
    <col min="5147" max="5147" width="17.44140625" style="194" customWidth="1"/>
    <col min="5148" max="5149" width="0" style="194" hidden="1"/>
    <col min="5150" max="5152" width="15.33203125" style="194" customWidth="1"/>
    <col min="5153" max="5153" width="17" style="194" customWidth="1"/>
    <col min="5154" max="5154" width="0" style="194" hidden="1"/>
    <col min="5155" max="5156" width="15.5546875" style="194" customWidth="1"/>
    <col min="5157" max="5157" width="13.6640625" style="194" customWidth="1"/>
    <col min="5158" max="5158" width="9" style="194" customWidth="1"/>
    <col min="5159" max="5159" width="49.88671875" style="194" customWidth="1"/>
    <col min="5160" max="5160" width="0" style="194" hidden="1"/>
    <col min="5161" max="5162" width="15.88671875" style="194" customWidth="1"/>
    <col min="5163" max="5163" width="14.5546875" style="194" customWidth="1"/>
    <col min="5164" max="5164" width="16.33203125" style="194" customWidth="1"/>
    <col min="5165" max="5165" width="18.109375" style="194" customWidth="1"/>
    <col min="5166" max="5166" width="14.109375" style="194" customWidth="1"/>
    <col min="5167" max="5393" width="0" style="194" hidden="1"/>
    <col min="5394" max="5394" width="7.5546875" style="194" customWidth="1"/>
    <col min="5395" max="5395" width="36.77734375" style="194" customWidth="1"/>
    <col min="5396" max="5397" width="0" style="194" hidden="1"/>
    <col min="5398" max="5398" width="16.6640625" style="194" customWidth="1"/>
    <col min="5399" max="5399" width="17.33203125" style="194" customWidth="1"/>
    <col min="5400" max="5400" width="15.5546875" style="194" customWidth="1"/>
    <col min="5401" max="5401" width="0" style="194" hidden="1"/>
    <col min="5402" max="5402" width="16.6640625" style="194" customWidth="1"/>
    <col min="5403" max="5403" width="17.44140625" style="194" customWidth="1"/>
    <col min="5404" max="5405" width="0" style="194" hidden="1"/>
    <col min="5406" max="5408" width="15.33203125" style="194" customWidth="1"/>
    <col min="5409" max="5409" width="17" style="194" customWidth="1"/>
    <col min="5410" max="5410" width="0" style="194" hidden="1"/>
    <col min="5411" max="5412" width="15.5546875" style="194" customWidth="1"/>
    <col min="5413" max="5413" width="13.6640625" style="194" customWidth="1"/>
    <col min="5414" max="5414" width="9" style="194" customWidth="1"/>
    <col min="5415" max="5415" width="49.88671875" style="194" customWidth="1"/>
    <col min="5416" max="5416" width="0" style="194" hidden="1"/>
    <col min="5417" max="5418" width="15.88671875" style="194" customWidth="1"/>
    <col min="5419" max="5419" width="14.5546875" style="194" customWidth="1"/>
    <col min="5420" max="5420" width="16.33203125" style="194" customWidth="1"/>
    <col min="5421" max="5421" width="18.109375" style="194" customWidth="1"/>
    <col min="5422" max="5422" width="14.109375" style="194" customWidth="1"/>
    <col min="5423" max="5649" width="0" style="194" hidden="1"/>
    <col min="5650" max="5650" width="7.5546875" style="194" customWidth="1"/>
    <col min="5651" max="5651" width="36.77734375" style="194" customWidth="1"/>
    <col min="5652" max="5653" width="0" style="194" hidden="1"/>
    <col min="5654" max="5654" width="16.6640625" style="194" customWidth="1"/>
    <col min="5655" max="5655" width="17.33203125" style="194" customWidth="1"/>
    <col min="5656" max="5656" width="15.5546875" style="194" customWidth="1"/>
    <col min="5657" max="5657" width="0" style="194" hidden="1"/>
    <col min="5658" max="5658" width="16.6640625" style="194" customWidth="1"/>
    <col min="5659" max="5659" width="17.44140625" style="194" customWidth="1"/>
    <col min="5660" max="5661" width="0" style="194" hidden="1"/>
    <col min="5662" max="5664" width="15.33203125" style="194" customWidth="1"/>
    <col min="5665" max="5665" width="17" style="194" customWidth="1"/>
    <col min="5666" max="5666" width="0" style="194" hidden="1"/>
    <col min="5667" max="5668" width="15.5546875" style="194" customWidth="1"/>
    <col min="5669" max="5669" width="13.6640625" style="194" customWidth="1"/>
    <col min="5670" max="5670" width="9" style="194" customWidth="1"/>
    <col min="5671" max="5671" width="49.88671875" style="194" customWidth="1"/>
    <col min="5672" max="5672" width="0" style="194" hidden="1"/>
    <col min="5673" max="5674" width="15.88671875" style="194" customWidth="1"/>
    <col min="5675" max="5675" width="14.5546875" style="194" customWidth="1"/>
    <col min="5676" max="5676" width="16.33203125" style="194" customWidth="1"/>
    <col min="5677" max="5677" width="18.109375" style="194" customWidth="1"/>
    <col min="5678" max="5678" width="14.109375" style="194" customWidth="1"/>
    <col min="5679" max="5905" width="0" style="194" hidden="1"/>
    <col min="5906" max="5906" width="7.5546875" style="194" customWidth="1"/>
    <col min="5907" max="5907" width="36.77734375" style="194" customWidth="1"/>
    <col min="5908" max="5909" width="0" style="194" hidden="1"/>
    <col min="5910" max="5910" width="16.6640625" style="194" customWidth="1"/>
    <col min="5911" max="5911" width="17.33203125" style="194" customWidth="1"/>
    <col min="5912" max="5912" width="15.5546875" style="194" customWidth="1"/>
    <col min="5913" max="5913" width="0" style="194" hidden="1"/>
    <col min="5914" max="5914" width="16.6640625" style="194" customWidth="1"/>
    <col min="5915" max="5915" width="17.44140625" style="194" customWidth="1"/>
    <col min="5916" max="5917" width="0" style="194" hidden="1"/>
    <col min="5918" max="5920" width="15.33203125" style="194" customWidth="1"/>
    <col min="5921" max="5921" width="17" style="194" customWidth="1"/>
    <col min="5922" max="5922" width="0" style="194" hidden="1"/>
    <col min="5923" max="5924" width="15.5546875" style="194" customWidth="1"/>
    <col min="5925" max="5925" width="13.6640625" style="194" customWidth="1"/>
    <col min="5926" max="5926" width="9" style="194" customWidth="1"/>
    <col min="5927" max="5927" width="49.88671875" style="194" customWidth="1"/>
    <col min="5928" max="5928" width="0" style="194" hidden="1"/>
    <col min="5929" max="5930" width="15.88671875" style="194" customWidth="1"/>
    <col min="5931" max="5931" width="14.5546875" style="194" customWidth="1"/>
    <col min="5932" max="5932" width="16.33203125" style="194" customWidth="1"/>
    <col min="5933" max="5933" width="18.109375" style="194" customWidth="1"/>
    <col min="5934" max="5934" width="14.109375" style="194" customWidth="1"/>
    <col min="5935" max="6161" width="0" style="194" hidden="1"/>
    <col min="6162" max="6162" width="7.5546875" style="194" customWidth="1"/>
    <col min="6163" max="6163" width="36.77734375" style="194" customWidth="1"/>
    <col min="6164" max="6165" width="0" style="194" hidden="1"/>
    <col min="6166" max="6166" width="16.6640625" style="194" customWidth="1"/>
    <col min="6167" max="6167" width="17.33203125" style="194" customWidth="1"/>
    <col min="6168" max="6168" width="15.5546875" style="194" customWidth="1"/>
    <col min="6169" max="6169" width="0" style="194" hidden="1"/>
    <col min="6170" max="6170" width="16.6640625" style="194" customWidth="1"/>
    <col min="6171" max="6171" width="17.44140625" style="194" customWidth="1"/>
    <col min="6172" max="6173" width="0" style="194" hidden="1"/>
    <col min="6174" max="6176" width="15.33203125" style="194" customWidth="1"/>
    <col min="6177" max="6177" width="17" style="194" customWidth="1"/>
    <col min="6178" max="6178" width="0" style="194" hidden="1"/>
    <col min="6179" max="6180" width="15.5546875" style="194" customWidth="1"/>
    <col min="6181" max="6181" width="13.6640625" style="194" customWidth="1"/>
    <col min="6182" max="6182" width="9" style="194" customWidth="1"/>
    <col min="6183" max="6183" width="49.88671875" style="194" customWidth="1"/>
    <col min="6184" max="6184" width="0" style="194" hidden="1"/>
    <col min="6185" max="6186" width="15.88671875" style="194" customWidth="1"/>
    <col min="6187" max="6187" width="14.5546875" style="194" customWidth="1"/>
    <col min="6188" max="6188" width="16.33203125" style="194" customWidth="1"/>
    <col min="6189" max="6189" width="18.109375" style="194" customWidth="1"/>
    <col min="6190" max="6190" width="14.109375" style="194" customWidth="1"/>
    <col min="6191" max="6417" width="0" style="194" hidden="1"/>
    <col min="6418" max="6418" width="7.5546875" style="194" customWidth="1"/>
    <col min="6419" max="6419" width="36.77734375" style="194" customWidth="1"/>
    <col min="6420" max="6421" width="0" style="194" hidden="1"/>
    <col min="6422" max="6422" width="16.6640625" style="194" customWidth="1"/>
    <col min="6423" max="6423" width="17.33203125" style="194" customWidth="1"/>
    <col min="6424" max="6424" width="15.5546875" style="194" customWidth="1"/>
    <col min="6425" max="6425" width="0" style="194" hidden="1"/>
    <col min="6426" max="6426" width="16.6640625" style="194" customWidth="1"/>
    <col min="6427" max="6427" width="17.44140625" style="194" customWidth="1"/>
    <col min="6428" max="6429" width="0" style="194" hidden="1"/>
    <col min="6430" max="6432" width="15.33203125" style="194" customWidth="1"/>
    <col min="6433" max="6433" width="17" style="194" customWidth="1"/>
    <col min="6434" max="6434" width="0" style="194" hidden="1"/>
    <col min="6435" max="6436" width="15.5546875" style="194" customWidth="1"/>
    <col min="6437" max="6437" width="13.6640625" style="194" customWidth="1"/>
    <col min="6438" max="6438" width="9" style="194" customWidth="1"/>
    <col min="6439" max="6439" width="49.88671875" style="194" customWidth="1"/>
    <col min="6440" max="6440" width="0" style="194" hidden="1"/>
    <col min="6441" max="6442" width="15.88671875" style="194" customWidth="1"/>
    <col min="6443" max="6443" width="14.5546875" style="194" customWidth="1"/>
    <col min="6444" max="6444" width="16.33203125" style="194" customWidth="1"/>
    <col min="6445" max="6445" width="18.109375" style="194" customWidth="1"/>
    <col min="6446" max="6446" width="14.109375" style="194" customWidth="1"/>
    <col min="6447" max="6673" width="0" style="194" hidden="1"/>
    <col min="6674" max="6674" width="7.5546875" style="194" customWidth="1"/>
    <col min="6675" max="6675" width="36.77734375" style="194" customWidth="1"/>
    <col min="6676" max="6677" width="0" style="194" hidden="1"/>
    <col min="6678" max="6678" width="16.6640625" style="194" customWidth="1"/>
    <col min="6679" max="6679" width="17.33203125" style="194" customWidth="1"/>
    <col min="6680" max="6680" width="15.5546875" style="194" customWidth="1"/>
    <col min="6681" max="6681" width="0" style="194" hidden="1"/>
    <col min="6682" max="6682" width="16.6640625" style="194" customWidth="1"/>
    <col min="6683" max="6683" width="17.44140625" style="194" customWidth="1"/>
    <col min="6684" max="6685" width="0" style="194" hidden="1"/>
    <col min="6686" max="6688" width="15.33203125" style="194" customWidth="1"/>
    <col min="6689" max="6689" width="17" style="194" customWidth="1"/>
    <col min="6690" max="6690" width="0" style="194" hidden="1"/>
    <col min="6691" max="6692" width="15.5546875" style="194" customWidth="1"/>
    <col min="6693" max="6693" width="13.6640625" style="194" customWidth="1"/>
    <col min="6694" max="6694" width="9" style="194" customWidth="1"/>
    <col min="6695" max="6695" width="49.88671875" style="194" customWidth="1"/>
    <col min="6696" max="6696" width="0" style="194" hidden="1"/>
    <col min="6697" max="6698" width="15.88671875" style="194" customWidth="1"/>
    <col min="6699" max="6699" width="14.5546875" style="194" customWidth="1"/>
    <col min="6700" max="6700" width="16.33203125" style="194" customWidth="1"/>
    <col min="6701" max="6701" width="18.109375" style="194" customWidth="1"/>
    <col min="6702" max="6702" width="14.109375" style="194" customWidth="1"/>
    <col min="6703" max="6929" width="0" style="194" hidden="1"/>
    <col min="6930" max="6930" width="7.5546875" style="194" customWidth="1"/>
    <col min="6931" max="6931" width="36.77734375" style="194" customWidth="1"/>
    <col min="6932" max="6933" width="0" style="194" hidden="1"/>
    <col min="6934" max="6934" width="16.6640625" style="194" customWidth="1"/>
    <col min="6935" max="6935" width="17.33203125" style="194" customWidth="1"/>
    <col min="6936" max="6936" width="15.5546875" style="194" customWidth="1"/>
    <col min="6937" max="6937" width="0" style="194" hidden="1"/>
    <col min="6938" max="6938" width="16.6640625" style="194" customWidth="1"/>
    <col min="6939" max="6939" width="17.44140625" style="194" customWidth="1"/>
    <col min="6940" max="6941" width="0" style="194" hidden="1"/>
    <col min="6942" max="6944" width="15.33203125" style="194" customWidth="1"/>
    <col min="6945" max="6945" width="17" style="194" customWidth="1"/>
    <col min="6946" max="6946" width="0" style="194" hidden="1"/>
    <col min="6947" max="6948" width="15.5546875" style="194" customWidth="1"/>
    <col min="6949" max="6949" width="13.6640625" style="194" customWidth="1"/>
    <col min="6950" max="6950" width="9" style="194" customWidth="1"/>
    <col min="6951" max="6951" width="49.88671875" style="194" customWidth="1"/>
    <col min="6952" max="6952" width="0" style="194" hidden="1"/>
    <col min="6953" max="6954" width="15.88671875" style="194" customWidth="1"/>
    <col min="6955" max="6955" width="14.5546875" style="194" customWidth="1"/>
    <col min="6956" max="6956" width="16.33203125" style="194" customWidth="1"/>
    <col min="6957" max="6957" width="18.109375" style="194" customWidth="1"/>
    <col min="6958" max="6958" width="14.109375" style="194" customWidth="1"/>
    <col min="6959" max="7185" width="0" style="194" hidden="1"/>
    <col min="7186" max="7186" width="7.5546875" style="194" customWidth="1"/>
    <col min="7187" max="7187" width="36.77734375" style="194" customWidth="1"/>
    <col min="7188" max="7189" width="0" style="194" hidden="1"/>
    <col min="7190" max="7190" width="16.6640625" style="194" customWidth="1"/>
    <col min="7191" max="7191" width="17.33203125" style="194" customWidth="1"/>
    <col min="7192" max="7192" width="15.5546875" style="194" customWidth="1"/>
    <col min="7193" max="7193" width="0" style="194" hidden="1"/>
    <col min="7194" max="7194" width="16.6640625" style="194" customWidth="1"/>
    <col min="7195" max="7195" width="17.44140625" style="194" customWidth="1"/>
    <col min="7196" max="7197" width="0" style="194" hidden="1"/>
    <col min="7198" max="7200" width="15.33203125" style="194" customWidth="1"/>
    <col min="7201" max="7201" width="17" style="194" customWidth="1"/>
    <col min="7202" max="7202" width="0" style="194" hidden="1"/>
    <col min="7203" max="7204" width="15.5546875" style="194" customWidth="1"/>
    <col min="7205" max="7205" width="13.6640625" style="194" customWidth="1"/>
    <col min="7206" max="7206" width="9" style="194" customWidth="1"/>
    <col min="7207" max="7207" width="49.88671875" style="194" customWidth="1"/>
    <col min="7208" max="7208" width="0" style="194" hidden="1"/>
    <col min="7209" max="7210" width="15.88671875" style="194" customWidth="1"/>
    <col min="7211" max="7211" width="14.5546875" style="194" customWidth="1"/>
    <col min="7212" max="7212" width="16.33203125" style="194" customWidth="1"/>
    <col min="7213" max="7213" width="18.109375" style="194" customWidth="1"/>
    <col min="7214" max="7214" width="14.109375" style="194" customWidth="1"/>
    <col min="7215" max="7441" width="0" style="194" hidden="1"/>
    <col min="7442" max="7442" width="7.5546875" style="194" customWidth="1"/>
    <col min="7443" max="7443" width="36.77734375" style="194" customWidth="1"/>
    <col min="7444" max="7445" width="0" style="194" hidden="1"/>
    <col min="7446" max="7446" width="16.6640625" style="194" customWidth="1"/>
    <col min="7447" max="7447" width="17.33203125" style="194" customWidth="1"/>
    <col min="7448" max="7448" width="15.5546875" style="194" customWidth="1"/>
    <col min="7449" max="7449" width="0" style="194" hidden="1"/>
    <col min="7450" max="7450" width="16.6640625" style="194" customWidth="1"/>
    <col min="7451" max="7451" width="17.44140625" style="194" customWidth="1"/>
    <col min="7452" max="7453" width="0" style="194" hidden="1"/>
    <col min="7454" max="7456" width="15.33203125" style="194" customWidth="1"/>
    <col min="7457" max="7457" width="17" style="194" customWidth="1"/>
    <col min="7458" max="7458" width="0" style="194" hidden="1"/>
    <col min="7459" max="7460" width="15.5546875" style="194" customWidth="1"/>
    <col min="7461" max="7461" width="13.6640625" style="194" customWidth="1"/>
    <col min="7462" max="7462" width="9" style="194" customWidth="1"/>
    <col min="7463" max="7463" width="49.88671875" style="194" customWidth="1"/>
    <col min="7464" max="7464" width="0" style="194" hidden="1"/>
    <col min="7465" max="7466" width="15.88671875" style="194" customWidth="1"/>
    <col min="7467" max="7467" width="14.5546875" style="194" customWidth="1"/>
    <col min="7468" max="7468" width="16.33203125" style="194" customWidth="1"/>
    <col min="7469" max="7469" width="18.109375" style="194" customWidth="1"/>
    <col min="7470" max="7470" width="14.109375" style="194" customWidth="1"/>
    <col min="7471" max="7697" width="0" style="194" hidden="1"/>
    <col min="7698" max="7698" width="7.5546875" style="194" customWidth="1"/>
    <col min="7699" max="7699" width="36.77734375" style="194" customWidth="1"/>
    <col min="7700" max="7701" width="0" style="194" hidden="1"/>
    <col min="7702" max="7702" width="16.6640625" style="194" customWidth="1"/>
    <col min="7703" max="7703" width="17.33203125" style="194" customWidth="1"/>
    <col min="7704" max="7704" width="15.5546875" style="194" customWidth="1"/>
    <col min="7705" max="7705" width="0" style="194" hidden="1"/>
    <col min="7706" max="7706" width="16.6640625" style="194" customWidth="1"/>
    <col min="7707" max="7707" width="17.44140625" style="194" customWidth="1"/>
    <col min="7708" max="7709" width="0" style="194" hidden="1"/>
    <col min="7710" max="7712" width="15.33203125" style="194" customWidth="1"/>
    <col min="7713" max="7713" width="17" style="194" customWidth="1"/>
    <col min="7714" max="7714" width="0" style="194" hidden="1"/>
    <col min="7715" max="7716" width="15.5546875" style="194" customWidth="1"/>
    <col min="7717" max="7717" width="13.6640625" style="194" customWidth="1"/>
    <col min="7718" max="7718" width="9" style="194" customWidth="1"/>
    <col min="7719" max="7719" width="49.88671875" style="194" customWidth="1"/>
    <col min="7720" max="7720" width="0" style="194" hidden="1"/>
    <col min="7721" max="7722" width="15.88671875" style="194" customWidth="1"/>
    <col min="7723" max="7723" width="14.5546875" style="194" customWidth="1"/>
    <col min="7724" max="7724" width="16.33203125" style="194" customWidth="1"/>
    <col min="7725" max="7725" width="18.109375" style="194" customWidth="1"/>
    <col min="7726" max="7726" width="14.109375" style="194" customWidth="1"/>
    <col min="7727" max="7953" width="0" style="194" hidden="1"/>
    <col min="7954" max="7954" width="7.5546875" style="194" customWidth="1"/>
    <col min="7955" max="7955" width="36.77734375" style="194" customWidth="1"/>
    <col min="7956" max="7957" width="0" style="194" hidden="1"/>
    <col min="7958" max="7958" width="16.6640625" style="194" customWidth="1"/>
    <col min="7959" max="7959" width="17.33203125" style="194" customWidth="1"/>
    <col min="7960" max="7960" width="15.5546875" style="194" customWidth="1"/>
    <col min="7961" max="7961" width="0" style="194" hidden="1"/>
    <col min="7962" max="7962" width="16.6640625" style="194" customWidth="1"/>
    <col min="7963" max="7963" width="17.44140625" style="194" customWidth="1"/>
    <col min="7964" max="7965" width="0" style="194" hidden="1"/>
    <col min="7966" max="7968" width="15.33203125" style="194" customWidth="1"/>
    <col min="7969" max="7969" width="17" style="194" customWidth="1"/>
    <col min="7970" max="7970" width="0" style="194" hidden="1"/>
    <col min="7971" max="7972" width="15.5546875" style="194" customWidth="1"/>
    <col min="7973" max="7973" width="13.6640625" style="194" customWidth="1"/>
    <col min="7974" max="7974" width="9" style="194" customWidth="1"/>
    <col min="7975" max="7975" width="49.88671875" style="194" customWidth="1"/>
    <col min="7976" max="7976" width="0" style="194" hidden="1"/>
    <col min="7977" max="7978" width="15.88671875" style="194" customWidth="1"/>
    <col min="7979" max="7979" width="14.5546875" style="194" customWidth="1"/>
    <col min="7980" max="7980" width="16.33203125" style="194" customWidth="1"/>
    <col min="7981" max="7981" width="18.109375" style="194" customWidth="1"/>
    <col min="7982" max="7982" width="14.109375" style="194" customWidth="1"/>
    <col min="7983" max="8209" width="0" style="194" hidden="1"/>
    <col min="8210" max="8210" width="7.5546875" style="194" customWidth="1"/>
    <col min="8211" max="8211" width="36.77734375" style="194" customWidth="1"/>
    <col min="8212" max="8213" width="0" style="194" hidden="1"/>
    <col min="8214" max="8214" width="16.6640625" style="194" customWidth="1"/>
    <col min="8215" max="8215" width="17.33203125" style="194" customWidth="1"/>
    <col min="8216" max="8216" width="15.5546875" style="194" customWidth="1"/>
    <col min="8217" max="8217" width="0" style="194" hidden="1"/>
    <col min="8218" max="8218" width="16.6640625" style="194" customWidth="1"/>
    <col min="8219" max="8219" width="17.44140625" style="194" customWidth="1"/>
    <col min="8220" max="8221" width="0" style="194" hidden="1"/>
    <col min="8222" max="8224" width="15.33203125" style="194" customWidth="1"/>
    <col min="8225" max="8225" width="17" style="194" customWidth="1"/>
    <col min="8226" max="8226" width="0" style="194" hidden="1"/>
    <col min="8227" max="8228" width="15.5546875" style="194" customWidth="1"/>
    <col min="8229" max="8229" width="13.6640625" style="194" customWidth="1"/>
    <col min="8230" max="8230" width="9" style="194" customWidth="1"/>
    <col min="8231" max="8231" width="49.88671875" style="194" customWidth="1"/>
    <col min="8232" max="8232" width="0" style="194" hidden="1"/>
    <col min="8233" max="8234" width="15.88671875" style="194" customWidth="1"/>
    <col min="8235" max="8235" width="14.5546875" style="194" customWidth="1"/>
    <col min="8236" max="8236" width="16.33203125" style="194" customWidth="1"/>
    <col min="8237" max="8237" width="18.109375" style="194" customWidth="1"/>
    <col min="8238" max="8238" width="14.109375" style="194" customWidth="1"/>
    <col min="8239" max="8465" width="0" style="194" hidden="1"/>
    <col min="8466" max="8466" width="7.5546875" style="194" customWidth="1"/>
    <col min="8467" max="8467" width="36.77734375" style="194" customWidth="1"/>
    <col min="8468" max="8469" width="0" style="194" hidden="1"/>
    <col min="8470" max="8470" width="16.6640625" style="194" customWidth="1"/>
    <col min="8471" max="8471" width="17.33203125" style="194" customWidth="1"/>
    <col min="8472" max="8472" width="15.5546875" style="194" customWidth="1"/>
    <col min="8473" max="8473" width="0" style="194" hidden="1"/>
    <col min="8474" max="8474" width="16.6640625" style="194" customWidth="1"/>
    <col min="8475" max="8475" width="17.44140625" style="194" customWidth="1"/>
    <col min="8476" max="8477" width="0" style="194" hidden="1"/>
    <col min="8478" max="8480" width="15.33203125" style="194" customWidth="1"/>
    <col min="8481" max="8481" width="17" style="194" customWidth="1"/>
    <col min="8482" max="8482" width="0" style="194" hidden="1"/>
    <col min="8483" max="8484" width="15.5546875" style="194" customWidth="1"/>
    <col min="8485" max="8485" width="13.6640625" style="194" customWidth="1"/>
    <col min="8486" max="8486" width="9" style="194" customWidth="1"/>
    <col min="8487" max="8487" width="49.88671875" style="194" customWidth="1"/>
    <col min="8488" max="8488" width="0" style="194" hidden="1"/>
    <col min="8489" max="8490" width="15.88671875" style="194" customWidth="1"/>
    <col min="8491" max="8491" width="14.5546875" style="194" customWidth="1"/>
    <col min="8492" max="8492" width="16.33203125" style="194" customWidth="1"/>
    <col min="8493" max="8493" width="18.109375" style="194" customWidth="1"/>
    <col min="8494" max="8494" width="14.109375" style="194" customWidth="1"/>
    <col min="8495" max="8721" width="0" style="194" hidden="1"/>
    <col min="8722" max="8722" width="7.5546875" style="194" customWidth="1"/>
    <col min="8723" max="8723" width="36.77734375" style="194" customWidth="1"/>
    <col min="8724" max="8725" width="0" style="194" hidden="1"/>
    <col min="8726" max="8726" width="16.6640625" style="194" customWidth="1"/>
    <col min="8727" max="8727" width="17.33203125" style="194" customWidth="1"/>
    <col min="8728" max="8728" width="15.5546875" style="194" customWidth="1"/>
    <col min="8729" max="8729" width="0" style="194" hidden="1"/>
    <col min="8730" max="8730" width="16.6640625" style="194" customWidth="1"/>
    <col min="8731" max="8731" width="17.44140625" style="194" customWidth="1"/>
    <col min="8732" max="8733" width="0" style="194" hidden="1"/>
    <col min="8734" max="8736" width="15.33203125" style="194" customWidth="1"/>
    <col min="8737" max="8737" width="17" style="194" customWidth="1"/>
    <col min="8738" max="8738" width="0" style="194" hidden="1"/>
    <col min="8739" max="8740" width="15.5546875" style="194" customWidth="1"/>
    <col min="8741" max="8741" width="13.6640625" style="194" customWidth="1"/>
    <col min="8742" max="8742" width="9" style="194" customWidth="1"/>
    <col min="8743" max="8743" width="49.88671875" style="194" customWidth="1"/>
    <col min="8744" max="8744" width="0" style="194" hidden="1"/>
    <col min="8745" max="8746" width="15.88671875" style="194" customWidth="1"/>
    <col min="8747" max="8747" width="14.5546875" style="194" customWidth="1"/>
    <col min="8748" max="8748" width="16.33203125" style="194" customWidth="1"/>
    <col min="8749" max="8749" width="18.109375" style="194" customWidth="1"/>
    <col min="8750" max="8750" width="14.109375" style="194" customWidth="1"/>
    <col min="8751" max="8977" width="0" style="194" hidden="1"/>
    <col min="8978" max="8978" width="7.5546875" style="194" customWidth="1"/>
    <col min="8979" max="8979" width="36.77734375" style="194" customWidth="1"/>
    <col min="8980" max="8981" width="0" style="194" hidden="1"/>
    <col min="8982" max="8982" width="16.6640625" style="194" customWidth="1"/>
    <col min="8983" max="8983" width="17.33203125" style="194" customWidth="1"/>
    <col min="8984" max="8984" width="15.5546875" style="194" customWidth="1"/>
    <col min="8985" max="8985" width="0" style="194" hidden="1"/>
    <col min="8986" max="8986" width="16.6640625" style="194" customWidth="1"/>
    <col min="8987" max="8987" width="17.44140625" style="194" customWidth="1"/>
    <col min="8988" max="8989" width="0" style="194" hidden="1"/>
    <col min="8990" max="8992" width="15.33203125" style="194" customWidth="1"/>
    <col min="8993" max="8993" width="17" style="194" customWidth="1"/>
    <col min="8994" max="8994" width="0" style="194" hidden="1"/>
    <col min="8995" max="8996" width="15.5546875" style="194" customWidth="1"/>
    <col min="8997" max="8997" width="13.6640625" style="194" customWidth="1"/>
    <col min="8998" max="8998" width="9" style="194" customWidth="1"/>
    <col min="8999" max="8999" width="49.88671875" style="194" customWidth="1"/>
    <col min="9000" max="9000" width="0" style="194" hidden="1"/>
    <col min="9001" max="9002" width="15.88671875" style="194" customWidth="1"/>
    <col min="9003" max="9003" width="14.5546875" style="194" customWidth="1"/>
    <col min="9004" max="9004" width="16.33203125" style="194" customWidth="1"/>
    <col min="9005" max="9005" width="18.109375" style="194" customWidth="1"/>
    <col min="9006" max="9006" width="14.109375" style="194" customWidth="1"/>
    <col min="9007" max="9233" width="0" style="194" hidden="1"/>
    <col min="9234" max="9234" width="7.5546875" style="194" customWidth="1"/>
    <col min="9235" max="9235" width="36.77734375" style="194" customWidth="1"/>
    <col min="9236" max="9237" width="0" style="194" hidden="1"/>
    <col min="9238" max="9238" width="16.6640625" style="194" customWidth="1"/>
    <col min="9239" max="9239" width="17.33203125" style="194" customWidth="1"/>
    <col min="9240" max="9240" width="15.5546875" style="194" customWidth="1"/>
    <col min="9241" max="9241" width="0" style="194" hidden="1"/>
    <col min="9242" max="9242" width="16.6640625" style="194" customWidth="1"/>
    <col min="9243" max="9243" width="17.44140625" style="194" customWidth="1"/>
    <col min="9244" max="9245" width="0" style="194" hidden="1"/>
    <col min="9246" max="9248" width="15.33203125" style="194" customWidth="1"/>
    <col min="9249" max="9249" width="17" style="194" customWidth="1"/>
    <col min="9250" max="9250" width="0" style="194" hidden="1"/>
    <col min="9251" max="9252" width="15.5546875" style="194" customWidth="1"/>
    <col min="9253" max="9253" width="13.6640625" style="194" customWidth="1"/>
    <col min="9254" max="9254" width="9" style="194" customWidth="1"/>
    <col min="9255" max="9255" width="49.88671875" style="194" customWidth="1"/>
    <col min="9256" max="9256" width="0" style="194" hidden="1"/>
    <col min="9257" max="9258" width="15.88671875" style="194" customWidth="1"/>
    <col min="9259" max="9259" width="14.5546875" style="194" customWidth="1"/>
    <col min="9260" max="9260" width="16.33203125" style="194" customWidth="1"/>
    <col min="9261" max="9261" width="18.109375" style="194" customWidth="1"/>
    <col min="9262" max="9262" width="14.109375" style="194" customWidth="1"/>
    <col min="9263" max="9489" width="0" style="194" hidden="1"/>
    <col min="9490" max="9490" width="7.5546875" style="194" customWidth="1"/>
    <col min="9491" max="9491" width="36.77734375" style="194" customWidth="1"/>
    <col min="9492" max="9493" width="0" style="194" hidden="1"/>
    <col min="9494" max="9494" width="16.6640625" style="194" customWidth="1"/>
    <col min="9495" max="9495" width="17.33203125" style="194" customWidth="1"/>
    <col min="9496" max="9496" width="15.5546875" style="194" customWidth="1"/>
    <col min="9497" max="9497" width="0" style="194" hidden="1"/>
    <col min="9498" max="9498" width="16.6640625" style="194" customWidth="1"/>
    <col min="9499" max="9499" width="17.44140625" style="194" customWidth="1"/>
    <col min="9500" max="9501" width="0" style="194" hidden="1"/>
    <col min="9502" max="9504" width="15.33203125" style="194" customWidth="1"/>
    <col min="9505" max="9505" width="17" style="194" customWidth="1"/>
    <col min="9506" max="9506" width="0" style="194" hidden="1"/>
    <col min="9507" max="9508" width="15.5546875" style="194" customWidth="1"/>
    <col min="9509" max="9509" width="13.6640625" style="194" customWidth="1"/>
    <col min="9510" max="9510" width="9" style="194" customWidth="1"/>
    <col min="9511" max="9511" width="49.88671875" style="194" customWidth="1"/>
    <col min="9512" max="9512" width="0" style="194" hidden="1"/>
    <col min="9513" max="9514" width="15.88671875" style="194" customWidth="1"/>
    <col min="9515" max="9515" width="14.5546875" style="194" customWidth="1"/>
    <col min="9516" max="9516" width="16.33203125" style="194" customWidth="1"/>
    <col min="9517" max="9517" width="18.109375" style="194" customWidth="1"/>
    <col min="9518" max="9518" width="14.109375" style="194" customWidth="1"/>
    <col min="9519" max="9745" width="0" style="194" hidden="1"/>
    <col min="9746" max="9746" width="7.5546875" style="194" customWidth="1"/>
    <col min="9747" max="9747" width="36.77734375" style="194" customWidth="1"/>
    <col min="9748" max="9749" width="0" style="194" hidden="1"/>
    <col min="9750" max="9750" width="16.6640625" style="194" customWidth="1"/>
    <col min="9751" max="9751" width="17.33203125" style="194" customWidth="1"/>
    <col min="9752" max="9752" width="15.5546875" style="194" customWidth="1"/>
    <col min="9753" max="9753" width="0" style="194" hidden="1"/>
    <col min="9754" max="9754" width="16.6640625" style="194" customWidth="1"/>
    <col min="9755" max="9755" width="17.44140625" style="194" customWidth="1"/>
    <col min="9756" max="9757" width="0" style="194" hidden="1"/>
    <col min="9758" max="9760" width="15.33203125" style="194" customWidth="1"/>
    <col min="9761" max="9761" width="17" style="194" customWidth="1"/>
    <col min="9762" max="9762" width="0" style="194" hidden="1"/>
    <col min="9763" max="9764" width="15.5546875" style="194" customWidth="1"/>
    <col min="9765" max="9765" width="13.6640625" style="194" customWidth="1"/>
    <col min="9766" max="9766" width="9" style="194" customWidth="1"/>
    <col min="9767" max="9767" width="49.88671875" style="194" customWidth="1"/>
    <col min="9768" max="9768" width="0" style="194" hidden="1"/>
    <col min="9769" max="9770" width="15.88671875" style="194" customWidth="1"/>
    <col min="9771" max="9771" width="14.5546875" style="194" customWidth="1"/>
    <col min="9772" max="9772" width="16.33203125" style="194" customWidth="1"/>
    <col min="9773" max="9773" width="18.109375" style="194" customWidth="1"/>
    <col min="9774" max="9774" width="14.109375" style="194" customWidth="1"/>
    <col min="9775" max="10001" width="0" style="194" hidden="1"/>
    <col min="10002" max="10002" width="7.5546875" style="194" customWidth="1"/>
    <col min="10003" max="10003" width="36.77734375" style="194" customWidth="1"/>
    <col min="10004" max="10005" width="0" style="194" hidden="1"/>
    <col min="10006" max="10006" width="16.6640625" style="194" customWidth="1"/>
    <col min="10007" max="10007" width="17.33203125" style="194" customWidth="1"/>
    <col min="10008" max="10008" width="15.5546875" style="194" customWidth="1"/>
    <col min="10009" max="10009" width="0" style="194" hidden="1"/>
    <col min="10010" max="10010" width="16.6640625" style="194" customWidth="1"/>
    <col min="10011" max="10011" width="17.44140625" style="194" customWidth="1"/>
    <col min="10012" max="10013" width="0" style="194" hidden="1"/>
    <col min="10014" max="10016" width="15.33203125" style="194" customWidth="1"/>
    <col min="10017" max="10017" width="17" style="194" customWidth="1"/>
    <col min="10018" max="10018" width="0" style="194" hidden="1"/>
    <col min="10019" max="10020" width="15.5546875" style="194" customWidth="1"/>
    <col min="10021" max="10021" width="13.6640625" style="194" customWidth="1"/>
    <col min="10022" max="10022" width="9" style="194" customWidth="1"/>
    <col min="10023" max="10023" width="49.88671875" style="194" customWidth="1"/>
    <col min="10024" max="10024" width="0" style="194" hidden="1"/>
    <col min="10025" max="10026" width="15.88671875" style="194" customWidth="1"/>
    <col min="10027" max="10027" width="14.5546875" style="194" customWidth="1"/>
    <col min="10028" max="10028" width="16.33203125" style="194" customWidth="1"/>
    <col min="10029" max="10029" width="18.109375" style="194" customWidth="1"/>
    <col min="10030" max="10030" width="14.109375" style="194" customWidth="1"/>
    <col min="10031" max="10257" width="0" style="194" hidden="1"/>
    <col min="10258" max="10258" width="7.5546875" style="194" customWidth="1"/>
    <col min="10259" max="10259" width="36.77734375" style="194" customWidth="1"/>
    <col min="10260" max="10261" width="0" style="194" hidden="1"/>
    <col min="10262" max="10262" width="16.6640625" style="194" customWidth="1"/>
    <col min="10263" max="10263" width="17.33203125" style="194" customWidth="1"/>
    <col min="10264" max="10264" width="15.5546875" style="194" customWidth="1"/>
    <col min="10265" max="10265" width="0" style="194" hidden="1"/>
    <col min="10266" max="10266" width="16.6640625" style="194" customWidth="1"/>
    <col min="10267" max="10267" width="17.44140625" style="194" customWidth="1"/>
    <col min="10268" max="10269" width="0" style="194" hidden="1"/>
    <col min="10270" max="10272" width="15.33203125" style="194" customWidth="1"/>
    <col min="10273" max="10273" width="17" style="194" customWidth="1"/>
    <col min="10274" max="10274" width="0" style="194" hidden="1"/>
    <col min="10275" max="10276" width="15.5546875" style="194" customWidth="1"/>
    <col min="10277" max="10277" width="13.6640625" style="194" customWidth="1"/>
    <col min="10278" max="10278" width="9" style="194" customWidth="1"/>
    <col min="10279" max="10279" width="49.88671875" style="194" customWidth="1"/>
    <col min="10280" max="10280" width="0" style="194" hidden="1"/>
    <col min="10281" max="10282" width="15.88671875" style="194" customWidth="1"/>
    <col min="10283" max="10283" width="14.5546875" style="194" customWidth="1"/>
    <col min="10284" max="10284" width="16.33203125" style="194" customWidth="1"/>
    <col min="10285" max="10285" width="18.109375" style="194" customWidth="1"/>
    <col min="10286" max="10286" width="14.109375" style="194" customWidth="1"/>
    <col min="10287" max="10513" width="0" style="194" hidden="1"/>
    <col min="10514" max="10514" width="7.5546875" style="194" customWidth="1"/>
    <col min="10515" max="10515" width="36.77734375" style="194" customWidth="1"/>
    <col min="10516" max="10517" width="0" style="194" hidden="1"/>
    <col min="10518" max="10518" width="16.6640625" style="194" customWidth="1"/>
    <col min="10519" max="10519" width="17.33203125" style="194" customWidth="1"/>
    <col min="10520" max="10520" width="15.5546875" style="194" customWidth="1"/>
    <col min="10521" max="10521" width="0" style="194" hidden="1"/>
    <col min="10522" max="10522" width="16.6640625" style="194" customWidth="1"/>
    <col min="10523" max="10523" width="17.44140625" style="194" customWidth="1"/>
    <col min="10524" max="10525" width="0" style="194" hidden="1"/>
    <col min="10526" max="10528" width="15.33203125" style="194" customWidth="1"/>
    <col min="10529" max="10529" width="17" style="194" customWidth="1"/>
    <col min="10530" max="10530" width="0" style="194" hidden="1"/>
    <col min="10531" max="10532" width="15.5546875" style="194" customWidth="1"/>
    <col min="10533" max="10533" width="13.6640625" style="194" customWidth="1"/>
    <col min="10534" max="10534" width="9" style="194" customWidth="1"/>
    <col min="10535" max="10535" width="49.88671875" style="194" customWidth="1"/>
    <col min="10536" max="10536" width="0" style="194" hidden="1"/>
    <col min="10537" max="10538" width="15.88671875" style="194" customWidth="1"/>
    <col min="10539" max="10539" width="14.5546875" style="194" customWidth="1"/>
    <col min="10540" max="10540" width="16.33203125" style="194" customWidth="1"/>
    <col min="10541" max="10541" width="18.109375" style="194" customWidth="1"/>
    <col min="10542" max="10542" width="14.109375" style="194" customWidth="1"/>
    <col min="10543" max="10769" width="0" style="194" hidden="1"/>
    <col min="10770" max="10770" width="7.5546875" style="194" customWidth="1"/>
    <col min="10771" max="10771" width="36.77734375" style="194" customWidth="1"/>
    <col min="10772" max="10773" width="0" style="194" hidden="1"/>
    <col min="10774" max="10774" width="16.6640625" style="194" customWidth="1"/>
    <col min="10775" max="10775" width="17.33203125" style="194" customWidth="1"/>
    <col min="10776" max="10776" width="15.5546875" style="194" customWidth="1"/>
    <col min="10777" max="10777" width="0" style="194" hidden="1"/>
    <col min="10778" max="10778" width="16.6640625" style="194" customWidth="1"/>
    <col min="10779" max="10779" width="17.44140625" style="194" customWidth="1"/>
    <col min="10780" max="10781" width="0" style="194" hidden="1"/>
    <col min="10782" max="10784" width="15.33203125" style="194" customWidth="1"/>
    <col min="10785" max="10785" width="17" style="194" customWidth="1"/>
    <col min="10786" max="10786" width="0" style="194" hidden="1"/>
    <col min="10787" max="10788" width="15.5546875" style="194" customWidth="1"/>
    <col min="10789" max="10789" width="13.6640625" style="194" customWidth="1"/>
    <col min="10790" max="10790" width="9" style="194" customWidth="1"/>
    <col min="10791" max="10791" width="49.88671875" style="194" customWidth="1"/>
    <col min="10792" max="10792" width="0" style="194" hidden="1"/>
    <col min="10793" max="10794" width="15.88671875" style="194" customWidth="1"/>
    <col min="10795" max="10795" width="14.5546875" style="194" customWidth="1"/>
    <col min="10796" max="10796" width="16.33203125" style="194" customWidth="1"/>
    <col min="10797" max="10797" width="18.109375" style="194" customWidth="1"/>
    <col min="10798" max="10798" width="14.109375" style="194" customWidth="1"/>
    <col min="10799" max="11025" width="0" style="194" hidden="1"/>
    <col min="11026" max="11026" width="7.5546875" style="194" customWidth="1"/>
    <col min="11027" max="11027" width="36.77734375" style="194" customWidth="1"/>
    <col min="11028" max="11029" width="0" style="194" hidden="1"/>
    <col min="11030" max="11030" width="16.6640625" style="194" customWidth="1"/>
    <col min="11031" max="11031" width="17.33203125" style="194" customWidth="1"/>
    <col min="11032" max="11032" width="15.5546875" style="194" customWidth="1"/>
    <col min="11033" max="11033" width="0" style="194" hidden="1"/>
    <col min="11034" max="11034" width="16.6640625" style="194" customWidth="1"/>
    <col min="11035" max="11035" width="17.44140625" style="194" customWidth="1"/>
    <col min="11036" max="11037" width="0" style="194" hidden="1"/>
    <col min="11038" max="11040" width="15.33203125" style="194" customWidth="1"/>
    <col min="11041" max="11041" width="17" style="194" customWidth="1"/>
    <col min="11042" max="11042" width="0" style="194" hidden="1"/>
    <col min="11043" max="11044" width="15.5546875" style="194" customWidth="1"/>
    <col min="11045" max="11045" width="13.6640625" style="194" customWidth="1"/>
    <col min="11046" max="11046" width="9" style="194" customWidth="1"/>
    <col min="11047" max="11047" width="49.88671875" style="194" customWidth="1"/>
    <col min="11048" max="11048" width="0" style="194" hidden="1"/>
    <col min="11049" max="11050" width="15.88671875" style="194" customWidth="1"/>
    <col min="11051" max="11051" width="14.5546875" style="194" customWidth="1"/>
    <col min="11052" max="11052" width="16.33203125" style="194" customWidth="1"/>
    <col min="11053" max="11053" width="18.109375" style="194" customWidth="1"/>
    <col min="11054" max="11054" width="14.109375" style="194" customWidth="1"/>
    <col min="11055" max="11281" width="0" style="194" hidden="1"/>
    <col min="11282" max="11282" width="7.5546875" style="194" customWidth="1"/>
    <col min="11283" max="11283" width="36.77734375" style="194" customWidth="1"/>
    <col min="11284" max="11285" width="0" style="194" hidden="1"/>
    <col min="11286" max="11286" width="16.6640625" style="194" customWidth="1"/>
    <col min="11287" max="11287" width="17.33203125" style="194" customWidth="1"/>
    <col min="11288" max="11288" width="15.5546875" style="194" customWidth="1"/>
    <col min="11289" max="11289" width="0" style="194" hidden="1"/>
    <col min="11290" max="11290" width="16.6640625" style="194" customWidth="1"/>
    <col min="11291" max="11291" width="17.44140625" style="194" customWidth="1"/>
    <col min="11292" max="11293" width="0" style="194" hidden="1"/>
    <col min="11294" max="11296" width="15.33203125" style="194" customWidth="1"/>
    <col min="11297" max="11297" width="17" style="194" customWidth="1"/>
    <col min="11298" max="11298" width="0" style="194" hidden="1"/>
    <col min="11299" max="11300" width="15.5546875" style="194" customWidth="1"/>
    <col min="11301" max="11301" width="13.6640625" style="194" customWidth="1"/>
    <col min="11302" max="11302" width="9" style="194" customWidth="1"/>
    <col min="11303" max="11303" width="49.88671875" style="194" customWidth="1"/>
    <col min="11304" max="11304" width="0" style="194" hidden="1"/>
    <col min="11305" max="11306" width="15.88671875" style="194" customWidth="1"/>
    <col min="11307" max="11307" width="14.5546875" style="194" customWidth="1"/>
    <col min="11308" max="11308" width="16.33203125" style="194" customWidth="1"/>
    <col min="11309" max="11309" width="18.109375" style="194" customWidth="1"/>
    <col min="11310" max="11310" width="14.109375" style="194" customWidth="1"/>
    <col min="11311" max="11537" width="0" style="194" hidden="1"/>
    <col min="11538" max="11538" width="7.5546875" style="194" customWidth="1"/>
    <col min="11539" max="11539" width="36.77734375" style="194" customWidth="1"/>
    <col min="11540" max="11541" width="0" style="194" hidden="1"/>
    <col min="11542" max="11542" width="16.6640625" style="194" customWidth="1"/>
    <col min="11543" max="11543" width="17.33203125" style="194" customWidth="1"/>
    <col min="11544" max="11544" width="15.5546875" style="194" customWidth="1"/>
    <col min="11545" max="11545" width="0" style="194" hidden="1"/>
    <col min="11546" max="11546" width="16.6640625" style="194" customWidth="1"/>
    <col min="11547" max="11547" width="17.44140625" style="194" customWidth="1"/>
    <col min="11548" max="11549" width="0" style="194" hidden="1"/>
    <col min="11550" max="11552" width="15.33203125" style="194" customWidth="1"/>
    <col min="11553" max="11553" width="17" style="194" customWidth="1"/>
    <col min="11554" max="11554" width="0" style="194" hidden="1"/>
    <col min="11555" max="11556" width="15.5546875" style="194" customWidth="1"/>
    <col min="11557" max="11557" width="13.6640625" style="194" customWidth="1"/>
    <col min="11558" max="11558" width="9" style="194" customWidth="1"/>
    <col min="11559" max="11559" width="49.88671875" style="194" customWidth="1"/>
    <col min="11560" max="11560" width="0" style="194" hidden="1"/>
    <col min="11561" max="11562" width="15.88671875" style="194" customWidth="1"/>
    <col min="11563" max="11563" width="14.5546875" style="194" customWidth="1"/>
    <col min="11564" max="11564" width="16.33203125" style="194" customWidth="1"/>
    <col min="11565" max="11565" width="18.109375" style="194" customWidth="1"/>
    <col min="11566" max="11566" width="14.109375" style="194" customWidth="1"/>
    <col min="11567" max="11793" width="0" style="194" hidden="1"/>
    <col min="11794" max="11794" width="7.5546875" style="194" customWidth="1"/>
    <col min="11795" max="11795" width="36.77734375" style="194" customWidth="1"/>
    <col min="11796" max="11797" width="0" style="194" hidden="1"/>
    <col min="11798" max="11798" width="16.6640625" style="194" customWidth="1"/>
    <col min="11799" max="11799" width="17.33203125" style="194" customWidth="1"/>
    <col min="11800" max="11800" width="15.5546875" style="194" customWidth="1"/>
    <col min="11801" max="11801" width="0" style="194" hidden="1"/>
    <col min="11802" max="11802" width="16.6640625" style="194" customWidth="1"/>
    <col min="11803" max="11803" width="17.44140625" style="194" customWidth="1"/>
    <col min="11804" max="11805" width="0" style="194" hidden="1"/>
    <col min="11806" max="11808" width="15.33203125" style="194" customWidth="1"/>
    <col min="11809" max="11809" width="17" style="194" customWidth="1"/>
    <col min="11810" max="11810" width="0" style="194" hidden="1"/>
    <col min="11811" max="11812" width="15.5546875" style="194" customWidth="1"/>
    <col min="11813" max="11813" width="13.6640625" style="194" customWidth="1"/>
    <col min="11814" max="11814" width="9" style="194" customWidth="1"/>
    <col min="11815" max="11815" width="49.88671875" style="194" customWidth="1"/>
    <col min="11816" max="11816" width="0" style="194" hidden="1"/>
    <col min="11817" max="11818" width="15.88671875" style="194" customWidth="1"/>
    <col min="11819" max="11819" width="14.5546875" style="194" customWidth="1"/>
    <col min="11820" max="11820" width="16.33203125" style="194" customWidth="1"/>
    <col min="11821" max="11821" width="18.109375" style="194" customWidth="1"/>
    <col min="11822" max="11822" width="14.109375" style="194" customWidth="1"/>
    <col min="11823" max="12049" width="0" style="194" hidden="1"/>
    <col min="12050" max="12050" width="7.5546875" style="194" customWidth="1"/>
    <col min="12051" max="12051" width="36.77734375" style="194" customWidth="1"/>
    <col min="12052" max="12053" width="0" style="194" hidden="1"/>
    <col min="12054" max="12054" width="16.6640625" style="194" customWidth="1"/>
    <col min="12055" max="12055" width="17.33203125" style="194" customWidth="1"/>
    <col min="12056" max="12056" width="15.5546875" style="194" customWidth="1"/>
    <col min="12057" max="12057" width="0" style="194" hidden="1"/>
    <col min="12058" max="12058" width="16.6640625" style="194" customWidth="1"/>
    <col min="12059" max="12059" width="17.44140625" style="194" customWidth="1"/>
    <col min="12060" max="12061" width="0" style="194" hidden="1"/>
    <col min="12062" max="12064" width="15.33203125" style="194" customWidth="1"/>
    <col min="12065" max="12065" width="17" style="194" customWidth="1"/>
    <col min="12066" max="12066" width="0" style="194" hidden="1"/>
    <col min="12067" max="12068" width="15.5546875" style="194" customWidth="1"/>
    <col min="12069" max="12069" width="13.6640625" style="194" customWidth="1"/>
    <col min="12070" max="12070" width="9" style="194" customWidth="1"/>
    <col min="12071" max="12071" width="49.88671875" style="194" customWidth="1"/>
    <col min="12072" max="12072" width="0" style="194" hidden="1"/>
    <col min="12073" max="12074" width="15.88671875" style="194" customWidth="1"/>
    <col min="12075" max="12075" width="14.5546875" style="194" customWidth="1"/>
    <col min="12076" max="12076" width="16.33203125" style="194" customWidth="1"/>
    <col min="12077" max="12077" width="18.109375" style="194" customWidth="1"/>
    <col min="12078" max="12078" width="14.109375" style="194" customWidth="1"/>
    <col min="12079" max="12305" width="0" style="194" hidden="1"/>
    <col min="12306" max="12306" width="7.5546875" style="194" customWidth="1"/>
    <col min="12307" max="12307" width="36.77734375" style="194" customWidth="1"/>
    <col min="12308" max="12309" width="0" style="194" hidden="1"/>
    <col min="12310" max="12310" width="16.6640625" style="194" customWidth="1"/>
    <col min="12311" max="12311" width="17.33203125" style="194" customWidth="1"/>
    <col min="12312" max="12312" width="15.5546875" style="194" customWidth="1"/>
    <col min="12313" max="12313" width="0" style="194" hidden="1"/>
    <col min="12314" max="12314" width="16.6640625" style="194" customWidth="1"/>
    <col min="12315" max="12315" width="17.44140625" style="194" customWidth="1"/>
    <col min="12316" max="12317" width="0" style="194" hidden="1"/>
    <col min="12318" max="12320" width="15.33203125" style="194" customWidth="1"/>
    <col min="12321" max="12321" width="17" style="194" customWidth="1"/>
    <col min="12322" max="12322" width="0" style="194" hidden="1"/>
    <col min="12323" max="12324" width="15.5546875" style="194" customWidth="1"/>
    <col min="12325" max="12325" width="13.6640625" style="194" customWidth="1"/>
    <col min="12326" max="12326" width="9" style="194" customWidth="1"/>
    <col min="12327" max="12327" width="49.88671875" style="194" customWidth="1"/>
    <col min="12328" max="12328" width="0" style="194" hidden="1"/>
    <col min="12329" max="12330" width="15.88671875" style="194" customWidth="1"/>
    <col min="12331" max="12331" width="14.5546875" style="194" customWidth="1"/>
    <col min="12332" max="12332" width="16.33203125" style="194" customWidth="1"/>
    <col min="12333" max="12333" width="18.109375" style="194" customWidth="1"/>
    <col min="12334" max="12334" width="14.109375" style="194" customWidth="1"/>
    <col min="12335" max="12561" width="0" style="194" hidden="1"/>
    <col min="12562" max="12562" width="7.5546875" style="194" customWidth="1"/>
    <col min="12563" max="12563" width="36.77734375" style="194" customWidth="1"/>
    <col min="12564" max="12565" width="0" style="194" hidden="1"/>
    <col min="12566" max="12566" width="16.6640625" style="194" customWidth="1"/>
    <col min="12567" max="12567" width="17.33203125" style="194" customWidth="1"/>
    <col min="12568" max="12568" width="15.5546875" style="194" customWidth="1"/>
    <col min="12569" max="12569" width="0" style="194" hidden="1"/>
    <col min="12570" max="12570" width="16.6640625" style="194" customWidth="1"/>
    <col min="12571" max="12571" width="17.44140625" style="194" customWidth="1"/>
    <col min="12572" max="12573" width="0" style="194" hidden="1"/>
    <col min="12574" max="12576" width="15.33203125" style="194" customWidth="1"/>
    <col min="12577" max="12577" width="17" style="194" customWidth="1"/>
    <col min="12578" max="12578" width="0" style="194" hidden="1"/>
    <col min="12579" max="12580" width="15.5546875" style="194" customWidth="1"/>
    <col min="12581" max="12581" width="13.6640625" style="194" customWidth="1"/>
    <col min="12582" max="12582" width="9" style="194" customWidth="1"/>
    <col min="12583" max="12583" width="49.88671875" style="194" customWidth="1"/>
    <col min="12584" max="12584" width="0" style="194" hidden="1"/>
    <col min="12585" max="12586" width="15.88671875" style="194" customWidth="1"/>
    <col min="12587" max="12587" width="14.5546875" style="194" customWidth="1"/>
    <col min="12588" max="12588" width="16.33203125" style="194" customWidth="1"/>
    <col min="12589" max="12589" width="18.109375" style="194" customWidth="1"/>
    <col min="12590" max="12590" width="14.109375" style="194" customWidth="1"/>
    <col min="12591" max="12817" width="0" style="194" hidden="1"/>
    <col min="12818" max="12818" width="7.5546875" style="194" customWidth="1"/>
    <col min="12819" max="12819" width="36.77734375" style="194" customWidth="1"/>
    <col min="12820" max="12821" width="0" style="194" hidden="1"/>
    <col min="12822" max="12822" width="16.6640625" style="194" customWidth="1"/>
    <col min="12823" max="12823" width="17.33203125" style="194" customWidth="1"/>
    <col min="12824" max="12824" width="15.5546875" style="194" customWidth="1"/>
    <col min="12825" max="12825" width="0" style="194" hidden="1"/>
    <col min="12826" max="12826" width="16.6640625" style="194" customWidth="1"/>
    <col min="12827" max="12827" width="17.44140625" style="194" customWidth="1"/>
    <col min="12828" max="12829" width="0" style="194" hidden="1"/>
    <col min="12830" max="12832" width="15.33203125" style="194" customWidth="1"/>
    <col min="12833" max="12833" width="17" style="194" customWidth="1"/>
    <col min="12834" max="12834" width="0" style="194" hidden="1"/>
    <col min="12835" max="12836" width="15.5546875" style="194" customWidth="1"/>
    <col min="12837" max="12837" width="13.6640625" style="194" customWidth="1"/>
    <col min="12838" max="12838" width="9" style="194" customWidth="1"/>
    <col min="12839" max="12839" width="49.88671875" style="194" customWidth="1"/>
    <col min="12840" max="12840" width="0" style="194" hidden="1"/>
    <col min="12841" max="12842" width="15.88671875" style="194" customWidth="1"/>
    <col min="12843" max="12843" width="14.5546875" style="194" customWidth="1"/>
    <col min="12844" max="12844" width="16.33203125" style="194" customWidth="1"/>
    <col min="12845" max="12845" width="18.109375" style="194" customWidth="1"/>
    <col min="12846" max="12846" width="14.109375" style="194" customWidth="1"/>
    <col min="12847" max="13073" width="0" style="194" hidden="1"/>
    <col min="13074" max="13074" width="7.5546875" style="194" customWidth="1"/>
    <col min="13075" max="13075" width="36.77734375" style="194" customWidth="1"/>
    <col min="13076" max="13077" width="0" style="194" hidden="1"/>
    <col min="13078" max="13078" width="16.6640625" style="194" customWidth="1"/>
    <col min="13079" max="13079" width="17.33203125" style="194" customWidth="1"/>
    <col min="13080" max="13080" width="15.5546875" style="194" customWidth="1"/>
    <col min="13081" max="13081" width="0" style="194" hidden="1"/>
    <col min="13082" max="13082" width="16.6640625" style="194" customWidth="1"/>
    <col min="13083" max="13083" width="17.44140625" style="194" customWidth="1"/>
    <col min="13084" max="13085" width="0" style="194" hidden="1"/>
    <col min="13086" max="13088" width="15.33203125" style="194" customWidth="1"/>
    <col min="13089" max="13089" width="17" style="194" customWidth="1"/>
    <col min="13090" max="13090" width="0" style="194" hidden="1"/>
    <col min="13091" max="13092" width="15.5546875" style="194" customWidth="1"/>
    <col min="13093" max="13093" width="13.6640625" style="194" customWidth="1"/>
    <col min="13094" max="13094" width="9" style="194" customWidth="1"/>
    <col min="13095" max="13095" width="49.88671875" style="194" customWidth="1"/>
    <col min="13096" max="13096" width="0" style="194" hidden="1"/>
    <col min="13097" max="13098" width="15.88671875" style="194" customWidth="1"/>
    <col min="13099" max="13099" width="14.5546875" style="194" customWidth="1"/>
    <col min="13100" max="13100" width="16.33203125" style="194" customWidth="1"/>
    <col min="13101" max="13101" width="18.109375" style="194" customWidth="1"/>
    <col min="13102" max="13102" width="14.109375" style="194" customWidth="1"/>
    <col min="13103" max="13329" width="0" style="194" hidden="1"/>
    <col min="13330" max="13330" width="7.5546875" style="194" customWidth="1"/>
    <col min="13331" max="13331" width="36.77734375" style="194" customWidth="1"/>
    <col min="13332" max="13333" width="0" style="194" hidden="1"/>
    <col min="13334" max="13334" width="16.6640625" style="194" customWidth="1"/>
    <col min="13335" max="13335" width="17.33203125" style="194" customWidth="1"/>
    <col min="13336" max="13336" width="15.5546875" style="194" customWidth="1"/>
    <col min="13337" max="13337" width="0" style="194" hidden="1"/>
    <col min="13338" max="13338" width="16.6640625" style="194" customWidth="1"/>
    <col min="13339" max="13339" width="17.44140625" style="194" customWidth="1"/>
    <col min="13340" max="13341" width="0" style="194" hidden="1"/>
    <col min="13342" max="13344" width="15.33203125" style="194" customWidth="1"/>
    <col min="13345" max="13345" width="17" style="194" customWidth="1"/>
    <col min="13346" max="13346" width="0" style="194" hidden="1"/>
    <col min="13347" max="13348" width="15.5546875" style="194" customWidth="1"/>
    <col min="13349" max="13349" width="13.6640625" style="194" customWidth="1"/>
    <col min="13350" max="13350" width="9" style="194" customWidth="1"/>
    <col min="13351" max="13351" width="49.88671875" style="194" customWidth="1"/>
    <col min="13352" max="13352" width="0" style="194" hidden="1"/>
    <col min="13353" max="13354" width="15.88671875" style="194" customWidth="1"/>
    <col min="13355" max="13355" width="14.5546875" style="194" customWidth="1"/>
    <col min="13356" max="13356" width="16.33203125" style="194" customWidth="1"/>
    <col min="13357" max="13357" width="18.109375" style="194" customWidth="1"/>
    <col min="13358" max="13358" width="14.109375" style="194" customWidth="1"/>
    <col min="13359" max="13585" width="0" style="194" hidden="1"/>
    <col min="13586" max="13586" width="7.5546875" style="194" customWidth="1"/>
    <col min="13587" max="13587" width="36.77734375" style="194" customWidth="1"/>
    <col min="13588" max="13589" width="0" style="194" hidden="1"/>
    <col min="13590" max="13590" width="16.6640625" style="194" customWidth="1"/>
    <col min="13591" max="13591" width="17.33203125" style="194" customWidth="1"/>
    <col min="13592" max="13592" width="15.5546875" style="194" customWidth="1"/>
    <col min="13593" max="13593" width="0" style="194" hidden="1"/>
    <col min="13594" max="13594" width="16.6640625" style="194" customWidth="1"/>
    <col min="13595" max="13595" width="17.44140625" style="194" customWidth="1"/>
    <col min="13596" max="13597" width="0" style="194" hidden="1"/>
    <col min="13598" max="13600" width="15.33203125" style="194" customWidth="1"/>
    <col min="13601" max="13601" width="17" style="194" customWidth="1"/>
    <col min="13602" max="13602" width="0" style="194" hidden="1"/>
    <col min="13603" max="13604" width="15.5546875" style="194" customWidth="1"/>
    <col min="13605" max="13605" width="13.6640625" style="194" customWidth="1"/>
    <col min="13606" max="13606" width="9" style="194" customWidth="1"/>
    <col min="13607" max="13607" width="49.88671875" style="194" customWidth="1"/>
    <col min="13608" max="13608" width="0" style="194" hidden="1"/>
    <col min="13609" max="13610" width="15.88671875" style="194" customWidth="1"/>
    <col min="13611" max="13611" width="14.5546875" style="194" customWidth="1"/>
    <col min="13612" max="13612" width="16.33203125" style="194" customWidth="1"/>
    <col min="13613" max="13613" width="18.109375" style="194" customWidth="1"/>
    <col min="13614" max="13614" width="14.109375" style="194" customWidth="1"/>
    <col min="13615" max="13841" width="0" style="194" hidden="1"/>
    <col min="13842" max="13842" width="7.5546875" style="194" customWidth="1"/>
    <col min="13843" max="13843" width="36.77734375" style="194" customWidth="1"/>
    <col min="13844" max="13845" width="0" style="194" hidden="1"/>
    <col min="13846" max="13846" width="16.6640625" style="194" customWidth="1"/>
    <col min="13847" max="13847" width="17.33203125" style="194" customWidth="1"/>
    <col min="13848" max="13848" width="15.5546875" style="194" customWidth="1"/>
    <col min="13849" max="13849" width="0" style="194" hidden="1"/>
    <col min="13850" max="13850" width="16.6640625" style="194" customWidth="1"/>
    <col min="13851" max="13851" width="17.44140625" style="194" customWidth="1"/>
    <col min="13852" max="13853" width="0" style="194" hidden="1"/>
    <col min="13854" max="13856" width="15.33203125" style="194" customWidth="1"/>
    <col min="13857" max="13857" width="17" style="194" customWidth="1"/>
    <col min="13858" max="13858" width="0" style="194" hidden="1"/>
    <col min="13859" max="13860" width="15.5546875" style="194" customWidth="1"/>
    <col min="13861" max="13861" width="13.6640625" style="194" customWidth="1"/>
    <col min="13862" max="13862" width="9" style="194" customWidth="1"/>
    <col min="13863" max="13863" width="49.88671875" style="194" customWidth="1"/>
    <col min="13864" max="13864" width="0" style="194" hidden="1"/>
    <col min="13865" max="13866" width="15.88671875" style="194" customWidth="1"/>
    <col min="13867" max="13867" width="14.5546875" style="194" customWidth="1"/>
    <col min="13868" max="13868" width="16.33203125" style="194" customWidth="1"/>
    <col min="13869" max="13869" width="18.109375" style="194" customWidth="1"/>
    <col min="13870" max="13870" width="14.109375" style="194" customWidth="1"/>
    <col min="13871" max="14097" width="0" style="194" hidden="1"/>
    <col min="14098" max="14098" width="7.5546875" style="194" customWidth="1"/>
    <col min="14099" max="14099" width="36.77734375" style="194" customWidth="1"/>
    <col min="14100" max="14101" width="0" style="194" hidden="1"/>
    <col min="14102" max="14102" width="16.6640625" style="194" customWidth="1"/>
    <col min="14103" max="14103" width="17.33203125" style="194" customWidth="1"/>
    <col min="14104" max="14104" width="15.5546875" style="194" customWidth="1"/>
    <col min="14105" max="14105" width="0" style="194" hidden="1"/>
    <col min="14106" max="14106" width="16.6640625" style="194" customWidth="1"/>
    <col min="14107" max="14107" width="17.44140625" style="194" customWidth="1"/>
    <col min="14108" max="14109" width="0" style="194" hidden="1"/>
    <col min="14110" max="14112" width="15.33203125" style="194" customWidth="1"/>
    <col min="14113" max="14113" width="17" style="194" customWidth="1"/>
    <col min="14114" max="14114" width="0" style="194" hidden="1"/>
    <col min="14115" max="14116" width="15.5546875" style="194" customWidth="1"/>
    <col min="14117" max="14117" width="13.6640625" style="194" customWidth="1"/>
    <col min="14118" max="14118" width="9" style="194" customWidth="1"/>
    <col min="14119" max="14119" width="49.88671875" style="194" customWidth="1"/>
    <col min="14120" max="14120" width="0" style="194" hidden="1"/>
    <col min="14121" max="14122" width="15.88671875" style="194" customWidth="1"/>
    <col min="14123" max="14123" width="14.5546875" style="194" customWidth="1"/>
    <col min="14124" max="14124" width="16.33203125" style="194" customWidth="1"/>
    <col min="14125" max="14125" width="18.109375" style="194" customWidth="1"/>
    <col min="14126" max="14126" width="14.109375" style="194" customWidth="1"/>
    <col min="14127" max="14353" width="0" style="194" hidden="1"/>
    <col min="14354" max="14354" width="7.5546875" style="194" customWidth="1"/>
    <col min="14355" max="14355" width="36.77734375" style="194" customWidth="1"/>
    <col min="14356" max="14357" width="0" style="194" hidden="1"/>
    <col min="14358" max="14358" width="16.6640625" style="194" customWidth="1"/>
    <col min="14359" max="14359" width="17.33203125" style="194" customWidth="1"/>
    <col min="14360" max="14360" width="15.5546875" style="194" customWidth="1"/>
    <col min="14361" max="14361" width="0" style="194" hidden="1"/>
    <col min="14362" max="14362" width="16.6640625" style="194" customWidth="1"/>
    <col min="14363" max="14363" width="17.44140625" style="194" customWidth="1"/>
    <col min="14364" max="14365" width="0" style="194" hidden="1"/>
    <col min="14366" max="14368" width="15.33203125" style="194" customWidth="1"/>
    <col min="14369" max="14369" width="17" style="194" customWidth="1"/>
    <col min="14370" max="14370" width="0" style="194" hidden="1"/>
    <col min="14371" max="14372" width="15.5546875" style="194" customWidth="1"/>
    <col min="14373" max="14373" width="13.6640625" style="194" customWidth="1"/>
    <col min="14374" max="14374" width="9" style="194" customWidth="1"/>
    <col min="14375" max="14375" width="49.88671875" style="194" customWidth="1"/>
    <col min="14376" max="14376" width="0" style="194" hidden="1"/>
    <col min="14377" max="14378" width="15.88671875" style="194" customWidth="1"/>
    <col min="14379" max="14379" width="14.5546875" style="194" customWidth="1"/>
    <col min="14380" max="14380" width="16.33203125" style="194" customWidth="1"/>
    <col min="14381" max="14381" width="18.109375" style="194" customWidth="1"/>
    <col min="14382" max="14382" width="14.109375" style="194" customWidth="1"/>
    <col min="14383" max="14609" width="0" style="194" hidden="1"/>
    <col min="14610" max="14610" width="7.5546875" style="194" customWidth="1"/>
    <col min="14611" max="14611" width="36.77734375" style="194" customWidth="1"/>
    <col min="14612" max="14613" width="0" style="194" hidden="1"/>
    <col min="14614" max="14614" width="16.6640625" style="194" customWidth="1"/>
    <col min="14615" max="14615" width="17.33203125" style="194" customWidth="1"/>
    <col min="14616" max="14616" width="15.5546875" style="194" customWidth="1"/>
    <col min="14617" max="14617" width="0" style="194" hidden="1"/>
    <col min="14618" max="14618" width="16.6640625" style="194" customWidth="1"/>
    <col min="14619" max="14619" width="17.44140625" style="194" customWidth="1"/>
    <col min="14620" max="14621" width="0" style="194" hidden="1"/>
    <col min="14622" max="14624" width="15.33203125" style="194" customWidth="1"/>
    <col min="14625" max="14625" width="17" style="194" customWidth="1"/>
    <col min="14626" max="14626" width="0" style="194" hidden="1"/>
    <col min="14627" max="14628" width="15.5546875" style="194" customWidth="1"/>
    <col min="14629" max="14629" width="13.6640625" style="194" customWidth="1"/>
    <col min="14630" max="14630" width="9" style="194" customWidth="1"/>
    <col min="14631" max="14631" width="49.88671875" style="194" customWidth="1"/>
    <col min="14632" max="14632" width="0" style="194" hidden="1"/>
    <col min="14633" max="14634" width="15.88671875" style="194" customWidth="1"/>
    <col min="14635" max="14635" width="14.5546875" style="194" customWidth="1"/>
    <col min="14636" max="14636" width="16.33203125" style="194" customWidth="1"/>
    <col min="14637" max="14637" width="18.109375" style="194" customWidth="1"/>
    <col min="14638" max="14638" width="14.109375" style="194" customWidth="1"/>
    <col min="14639" max="14865" width="0" style="194" hidden="1"/>
    <col min="14866" max="14866" width="7.5546875" style="194" customWidth="1"/>
    <col min="14867" max="14867" width="36.77734375" style="194" customWidth="1"/>
    <col min="14868" max="14869" width="0" style="194" hidden="1"/>
    <col min="14870" max="14870" width="16.6640625" style="194" customWidth="1"/>
    <col min="14871" max="14871" width="17.33203125" style="194" customWidth="1"/>
    <col min="14872" max="14872" width="15.5546875" style="194" customWidth="1"/>
    <col min="14873" max="14873" width="0" style="194" hidden="1"/>
    <col min="14874" max="14874" width="16.6640625" style="194" customWidth="1"/>
    <col min="14875" max="14875" width="17.44140625" style="194" customWidth="1"/>
    <col min="14876" max="14877" width="0" style="194" hidden="1"/>
    <col min="14878" max="14880" width="15.33203125" style="194" customWidth="1"/>
    <col min="14881" max="14881" width="17" style="194" customWidth="1"/>
    <col min="14882" max="14882" width="0" style="194" hidden="1"/>
    <col min="14883" max="14884" width="15.5546875" style="194" customWidth="1"/>
    <col min="14885" max="14885" width="13.6640625" style="194" customWidth="1"/>
    <col min="14886" max="14886" width="9" style="194" customWidth="1"/>
    <col min="14887" max="14887" width="49.88671875" style="194" customWidth="1"/>
    <col min="14888" max="14888" width="0" style="194" hidden="1"/>
    <col min="14889" max="14890" width="15.88671875" style="194" customWidth="1"/>
    <col min="14891" max="14891" width="14.5546875" style="194" customWidth="1"/>
    <col min="14892" max="14892" width="16.33203125" style="194" customWidth="1"/>
    <col min="14893" max="14893" width="18.109375" style="194" customWidth="1"/>
    <col min="14894" max="14894" width="14.109375" style="194" customWidth="1"/>
    <col min="14895" max="15121" width="0" style="194" hidden="1"/>
    <col min="15122" max="15122" width="7.5546875" style="194" customWidth="1"/>
    <col min="15123" max="15123" width="36.77734375" style="194" customWidth="1"/>
    <col min="15124" max="15125" width="0" style="194" hidden="1"/>
    <col min="15126" max="15126" width="16.6640625" style="194" customWidth="1"/>
    <col min="15127" max="15127" width="17.33203125" style="194" customWidth="1"/>
    <col min="15128" max="15128" width="15.5546875" style="194" customWidth="1"/>
    <col min="15129" max="15129" width="0" style="194" hidden="1"/>
    <col min="15130" max="15130" width="16.6640625" style="194" customWidth="1"/>
    <col min="15131" max="15131" width="17.44140625" style="194" customWidth="1"/>
    <col min="15132" max="15133" width="0" style="194" hidden="1"/>
    <col min="15134" max="15136" width="15.33203125" style="194" customWidth="1"/>
    <col min="15137" max="15137" width="17" style="194" customWidth="1"/>
    <col min="15138" max="15138" width="0" style="194" hidden="1"/>
    <col min="15139" max="15140" width="15.5546875" style="194" customWidth="1"/>
    <col min="15141" max="15141" width="13.6640625" style="194" customWidth="1"/>
    <col min="15142" max="15142" width="9" style="194" customWidth="1"/>
    <col min="15143" max="15143" width="49.88671875" style="194" customWidth="1"/>
    <col min="15144" max="15144" width="0" style="194" hidden="1"/>
    <col min="15145" max="15146" width="15.88671875" style="194" customWidth="1"/>
    <col min="15147" max="15147" width="14.5546875" style="194" customWidth="1"/>
    <col min="15148" max="15148" width="16.33203125" style="194" customWidth="1"/>
    <col min="15149" max="15149" width="18.109375" style="194" customWidth="1"/>
    <col min="15150" max="15150" width="14.109375" style="194" customWidth="1"/>
    <col min="15151" max="15377" width="0" style="194" hidden="1"/>
    <col min="15378" max="15378" width="7.5546875" style="194" customWidth="1"/>
    <col min="15379" max="15379" width="36.77734375" style="194" customWidth="1"/>
    <col min="15380" max="15381" width="0" style="194" hidden="1"/>
    <col min="15382" max="15382" width="16.6640625" style="194" customWidth="1"/>
    <col min="15383" max="15383" width="17.33203125" style="194" customWidth="1"/>
    <col min="15384" max="15384" width="15.5546875" style="194" customWidth="1"/>
    <col min="15385" max="15385" width="0" style="194" hidden="1"/>
    <col min="15386" max="15386" width="16.6640625" style="194" customWidth="1"/>
    <col min="15387" max="15387" width="17.44140625" style="194" customWidth="1"/>
    <col min="15388" max="15389" width="0" style="194" hidden="1"/>
    <col min="15390" max="15392" width="15.33203125" style="194" customWidth="1"/>
    <col min="15393" max="15393" width="17" style="194" customWidth="1"/>
    <col min="15394" max="15394" width="0" style="194" hidden="1"/>
    <col min="15395" max="15396" width="15.5546875" style="194" customWidth="1"/>
    <col min="15397" max="15397" width="13.6640625" style="194" customWidth="1"/>
    <col min="15398" max="15398" width="9" style="194" customWidth="1"/>
    <col min="15399" max="15399" width="49.88671875" style="194" customWidth="1"/>
    <col min="15400" max="15400" width="0" style="194" hidden="1"/>
    <col min="15401" max="15402" width="15.88671875" style="194" customWidth="1"/>
    <col min="15403" max="15403" width="14.5546875" style="194" customWidth="1"/>
    <col min="15404" max="15404" width="16.33203125" style="194" customWidth="1"/>
    <col min="15405" max="15405" width="18.109375" style="194" customWidth="1"/>
    <col min="15406" max="15406" width="14.109375" style="194" customWidth="1"/>
    <col min="15407" max="15633" width="0" style="194" hidden="1"/>
    <col min="15634" max="15634" width="7.5546875" style="194" customWidth="1"/>
    <col min="15635" max="15635" width="36.77734375" style="194" customWidth="1"/>
    <col min="15636" max="15637" width="0" style="194" hidden="1"/>
    <col min="15638" max="15638" width="16.6640625" style="194" customWidth="1"/>
    <col min="15639" max="15639" width="17.33203125" style="194" customWidth="1"/>
    <col min="15640" max="15640" width="15.5546875" style="194" customWidth="1"/>
    <col min="15641" max="15641" width="0" style="194" hidden="1"/>
    <col min="15642" max="15642" width="16.6640625" style="194" customWidth="1"/>
    <col min="15643" max="15643" width="17.44140625" style="194" customWidth="1"/>
    <col min="15644" max="15645" width="0" style="194" hidden="1"/>
    <col min="15646" max="15648" width="15.33203125" style="194" customWidth="1"/>
    <col min="15649" max="15649" width="17" style="194" customWidth="1"/>
    <col min="15650" max="15650" width="0" style="194" hidden="1"/>
    <col min="15651" max="15652" width="15.5546875" style="194" customWidth="1"/>
    <col min="15653" max="15653" width="13.6640625" style="194" customWidth="1"/>
    <col min="15654" max="15654" width="9" style="194" customWidth="1"/>
    <col min="15655" max="15655" width="49.88671875" style="194" customWidth="1"/>
    <col min="15656" max="15656" width="0" style="194" hidden="1"/>
    <col min="15657" max="15658" width="15.88671875" style="194" customWidth="1"/>
    <col min="15659" max="15659" width="14.5546875" style="194" customWidth="1"/>
    <col min="15660" max="15660" width="16.33203125" style="194" customWidth="1"/>
    <col min="15661" max="15661" width="18.109375" style="194" customWidth="1"/>
    <col min="15662" max="15662" width="14.109375" style="194" customWidth="1"/>
    <col min="15663" max="15889" width="0" style="194" hidden="1"/>
    <col min="15890" max="15890" width="7.5546875" style="194" customWidth="1"/>
    <col min="15891" max="15891" width="36.77734375" style="194" customWidth="1"/>
    <col min="15892" max="15893" width="0" style="194" hidden="1"/>
    <col min="15894" max="15894" width="16.6640625" style="194" customWidth="1"/>
    <col min="15895" max="15895" width="17.33203125" style="194" customWidth="1"/>
    <col min="15896" max="15896" width="15.5546875" style="194" customWidth="1"/>
    <col min="15897" max="15897" width="0" style="194" hidden="1"/>
    <col min="15898" max="15898" width="16.6640625" style="194" customWidth="1"/>
    <col min="15899" max="15899" width="17.44140625" style="194" customWidth="1"/>
    <col min="15900" max="15901" width="0" style="194" hidden="1"/>
    <col min="15902" max="15904" width="15.33203125" style="194" customWidth="1"/>
    <col min="15905" max="15905" width="17" style="194" customWidth="1"/>
    <col min="15906" max="15906" width="0" style="194" hidden="1"/>
    <col min="15907" max="15908" width="15.5546875" style="194" customWidth="1"/>
    <col min="15909" max="15909" width="13.6640625" style="194" customWidth="1"/>
    <col min="15910" max="15910" width="9" style="194" customWidth="1"/>
    <col min="15911" max="15911" width="49.88671875" style="194" customWidth="1"/>
    <col min="15912" max="15912" width="0" style="194" hidden="1"/>
    <col min="15913" max="15914" width="15.88671875" style="194" customWidth="1"/>
    <col min="15915" max="15915" width="14.5546875" style="194" customWidth="1"/>
    <col min="15916" max="15916" width="16.33203125" style="194" customWidth="1"/>
    <col min="15917" max="15917" width="18.109375" style="194" customWidth="1"/>
    <col min="15918" max="15918" width="14.109375" style="194" customWidth="1"/>
    <col min="15919" max="16384" width="0" style="194" hidden="1"/>
  </cols>
  <sheetData>
    <row r="1" spans="1:23" ht="24.75" customHeight="1">
      <c r="A1" s="137" t="s">
        <v>73</v>
      </c>
      <c r="B1" s="1"/>
      <c r="C1" s="1"/>
      <c r="D1" s="1"/>
      <c r="E1" s="1"/>
      <c r="F1" s="45"/>
      <c r="G1" s="53"/>
      <c r="H1" s="45"/>
      <c r="I1" s="45"/>
      <c r="J1" s="45"/>
      <c r="K1" s="45"/>
      <c r="L1" s="1"/>
      <c r="M1" s="1"/>
      <c r="N1" s="45"/>
      <c r="O1" s="45"/>
      <c r="P1" s="45"/>
      <c r="Q1" s="45"/>
      <c r="R1" s="1"/>
      <c r="S1" s="1"/>
      <c r="T1" s="1"/>
      <c r="U1" s="2"/>
      <c r="V1" s="2"/>
      <c r="W1" s="194"/>
    </row>
    <row r="2" spans="1:23" ht="24.75" customHeight="1">
      <c r="A2" s="138" t="s">
        <v>128</v>
      </c>
      <c r="B2" s="5"/>
      <c r="C2" s="5"/>
      <c r="D2" s="5"/>
      <c r="E2" s="5"/>
      <c r="F2" s="195"/>
      <c r="G2" s="196"/>
      <c r="H2" s="195"/>
      <c r="I2" s="195"/>
      <c r="J2" s="195"/>
      <c r="K2" s="195"/>
      <c r="L2" s="5"/>
      <c r="M2" s="5"/>
      <c r="N2" s="195"/>
      <c r="O2" s="195"/>
      <c r="P2" s="195"/>
      <c r="Q2" s="195"/>
      <c r="R2" s="5"/>
      <c r="S2" s="5"/>
      <c r="T2" s="5"/>
      <c r="U2" s="197"/>
      <c r="V2" s="197"/>
      <c r="W2" s="194"/>
    </row>
    <row r="3" spans="1:23" ht="26.25" customHeight="1">
      <c r="A3" s="8" t="s">
        <v>44</v>
      </c>
      <c r="B3" s="8"/>
      <c r="C3" s="198"/>
      <c r="D3" s="198"/>
      <c r="E3" s="198"/>
      <c r="F3" s="199"/>
      <c r="G3" s="200"/>
      <c r="H3" s="199"/>
      <c r="I3" s="199"/>
      <c r="J3" s="199"/>
      <c r="K3" s="199"/>
      <c r="L3" s="201"/>
      <c r="M3" s="201"/>
      <c r="N3" s="199"/>
      <c r="O3" s="199"/>
      <c r="P3" s="199"/>
      <c r="Q3" s="199"/>
      <c r="S3" s="203"/>
      <c r="T3" s="203"/>
      <c r="V3" s="205"/>
      <c r="W3" s="194"/>
    </row>
    <row r="4" spans="1:23" ht="15" customHeight="1" thickBot="1">
      <c r="A4" s="206"/>
      <c r="B4" s="206"/>
      <c r="C4" s="198"/>
      <c r="D4" s="198"/>
      <c r="E4" s="198"/>
      <c r="F4" s="199"/>
      <c r="G4" s="200"/>
      <c r="H4" s="199"/>
      <c r="I4" s="199"/>
      <c r="J4" s="199"/>
      <c r="K4" s="199"/>
      <c r="L4" s="207">
        <v>0.05</v>
      </c>
      <c r="M4" s="207">
        <v>0.25</v>
      </c>
      <c r="N4" s="199"/>
      <c r="O4" s="199"/>
      <c r="P4" s="199"/>
      <c r="Q4" s="207">
        <v>0.25</v>
      </c>
      <c r="S4" s="203"/>
      <c r="T4" s="203"/>
      <c r="V4" s="205"/>
      <c r="W4" s="194"/>
    </row>
    <row r="5" spans="1:23" s="243" customFormat="1" ht="88.8" customHeight="1" thickBot="1">
      <c r="A5" s="233" t="s">
        <v>0</v>
      </c>
      <c r="B5" s="233" t="s">
        <v>40</v>
      </c>
      <c r="C5" s="234" t="s">
        <v>1</v>
      </c>
      <c r="D5" s="235" t="s">
        <v>6</v>
      </c>
      <c r="E5" s="236" t="s">
        <v>45</v>
      </c>
      <c r="F5" s="237" t="s">
        <v>31</v>
      </c>
      <c r="G5" s="238" t="s">
        <v>37</v>
      </c>
      <c r="H5" s="539" t="s">
        <v>109</v>
      </c>
      <c r="I5" s="540" t="s">
        <v>171</v>
      </c>
      <c r="J5" s="239" t="s">
        <v>41</v>
      </c>
      <c r="K5" s="239" t="s">
        <v>116</v>
      </c>
      <c r="L5" s="240" t="s">
        <v>117</v>
      </c>
      <c r="M5" s="240" t="s">
        <v>118</v>
      </c>
      <c r="N5" s="540" t="s">
        <v>119</v>
      </c>
      <c r="O5" s="391" t="s">
        <v>113</v>
      </c>
      <c r="P5" s="391" t="s">
        <v>114</v>
      </c>
      <c r="Q5" s="540" t="s">
        <v>115</v>
      </c>
      <c r="R5" s="241" t="s">
        <v>120</v>
      </c>
      <c r="S5" s="392" t="s">
        <v>39</v>
      </c>
      <c r="T5" s="393" t="s">
        <v>43</v>
      </c>
      <c r="U5" s="393" t="s">
        <v>7</v>
      </c>
      <c r="V5" s="242"/>
    </row>
    <row r="6" spans="1:23" s="250" customFormat="1" ht="23.4" customHeight="1">
      <c r="A6" s="244">
        <v>1</v>
      </c>
      <c r="B6" s="510">
        <v>120000068774</v>
      </c>
      <c r="C6" s="19" t="s">
        <v>146</v>
      </c>
      <c r="D6" s="32" t="s">
        <v>79</v>
      </c>
      <c r="E6" s="32" t="s">
        <v>46</v>
      </c>
      <c r="F6" s="40">
        <v>1400</v>
      </c>
      <c r="G6" s="394">
        <v>243923</v>
      </c>
      <c r="H6" s="245"/>
      <c r="I6" s="541">
        <f>Table1351452010[[#This Row],[ค่าบริการรายเดือนตาม Package]]+Table1351452010[[#This Row],[รายการเบิก
คอมขายเพิ่มเติม
(เป้าตามกำหนด)
100-200%]]</f>
        <v>1400</v>
      </c>
      <c r="J6" s="40"/>
      <c r="K6" s="246"/>
      <c r="L6" s="247">
        <f>IF(Table1351452010[[#This Row],[ค่าขายอุปกรณ์]]&gt;Table1351452010[[#This Row],[ต้นทุนค่าขายอุปกรณ์]],Table1351452010[[#This Row],[ต้นทุนค่าขายอุปกรณ์]]*$L$4,Table1351452010[[#This Row],[ค่าขายอุปกรณ์]]*$L$4)</f>
        <v>0</v>
      </c>
      <c r="M6" s="247">
        <f>IF(Table1351452010[[#This Row],[ค่าขายอุปกรณ์]]&gt;Table1351452010[[#This Row],[ต้นทุนค่าขายอุปกรณ์]],SUM(Table1351452010[[#This Row],[ค่าขายอุปกรณ์]]-Table1351452010[[#This Row],[ต้นทุนค่าขายอุปกรณ์]])*$M$4,0)</f>
        <v>0</v>
      </c>
      <c r="N6" s="541">
        <f>SUM(Table1351452010[[#This Row],[คอมฯอุปกรณ์
 5%]:[คอมฯ อุปกรณ์
25%]])</f>
        <v>0</v>
      </c>
      <c r="O6" s="49"/>
      <c r="P6" s="245"/>
      <c r="Q6" s="541">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6" s="546">
        <f>SUM(Table1351452010[[#This Row],[Total
รายการเบิก
คอมขาย]],Table1351452010[[#This Row],[Total
คอมฯ อุปกรณ์]])+Table1351452010[[#This Row],[Total 
คอมฯค่าติดตั้ง/ค่าเชื่อมสัญญาณ]]</f>
        <v>1400</v>
      </c>
      <c r="S6" s="130" t="s">
        <v>148</v>
      </c>
      <c r="T6" s="511" t="s">
        <v>145</v>
      </c>
      <c r="U6" s="249" t="s">
        <v>149</v>
      </c>
      <c r="V6" s="3"/>
    </row>
    <row r="7" spans="1:23" s="250" customFormat="1" ht="23.4" customHeight="1">
      <c r="A7" s="251">
        <v>5.0999999999999996</v>
      </c>
      <c r="B7" s="252"/>
      <c r="C7" s="253" t="s">
        <v>147</v>
      </c>
      <c r="D7" s="41"/>
      <c r="E7" s="41"/>
      <c r="F7" s="41"/>
      <c r="G7" s="44"/>
      <c r="H7" s="254"/>
      <c r="I7" s="542"/>
      <c r="J7" s="150"/>
      <c r="K7" s="151"/>
      <c r="L7" s="255"/>
      <c r="M7" s="256"/>
      <c r="N7" s="542"/>
      <c r="O7" s="50"/>
      <c r="P7" s="50"/>
      <c r="Q7" s="542"/>
      <c r="R7" s="547" t="s">
        <v>108</v>
      </c>
      <c r="S7" s="132"/>
      <c r="T7" s="132"/>
      <c r="U7" s="258"/>
      <c r="V7" s="133"/>
    </row>
    <row r="8" spans="1:23" s="250" customFormat="1" ht="23.4" customHeight="1" thickBot="1">
      <c r="A8" s="259">
        <v>5.2</v>
      </c>
      <c r="B8" s="260"/>
      <c r="C8" s="412"/>
      <c r="D8" s="39"/>
      <c r="E8" s="39"/>
      <c r="F8" s="41"/>
      <c r="G8" s="44"/>
      <c r="H8" s="262"/>
      <c r="I8" s="543"/>
      <c r="J8" s="41"/>
      <c r="K8" s="41"/>
      <c r="L8" s="256"/>
      <c r="M8" s="256"/>
      <c r="N8" s="543"/>
      <c r="O8" s="51"/>
      <c r="P8" s="51"/>
      <c r="Q8" s="543"/>
      <c r="R8" s="548"/>
      <c r="S8" s="134"/>
      <c r="T8" s="134"/>
      <c r="U8" s="264"/>
      <c r="V8" s="135"/>
    </row>
    <row r="9" spans="1:23" s="250" customFormat="1" ht="23.4" customHeight="1">
      <c r="A9" s="274">
        <v>2</v>
      </c>
      <c r="B9" s="512">
        <v>120000068775</v>
      </c>
      <c r="C9" s="19" t="s">
        <v>150</v>
      </c>
      <c r="D9" s="32" t="s">
        <v>79</v>
      </c>
      <c r="E9" s="32" t="s">
        <v>46</v>
      </c>
      <c r="F9" s="40">
        <v>1400</v>
      </c>
      <c r="G9" s="394">
        <v>243923</v>
      </c>
      <c r="H9" s="245"/>
      <c r="I9" s="541">
        <f>Table1351452010[[#This Row],[ค่าบริการรายเดือนตาม Package]]+Table1351452010[[#This Row],[รายการเบิก
คอมขายเพิ่มเติม
(เป้าตามกำหนด)
100-200%]]</f>
        <v>1400</v>
      </c>
      <c r="J9" s="40"/>
      <c r="K9" s="246"/>
      <c r="L9" s="266">
        <f>IF(Table1351452010[[#This Row],[ค่าขายอุปกรณ์]]&gt;Table1351452010[[#This Row],[ต้นทุนค่าขายอุปกรณ์]],Table1351452010[[#This Row],[ต้นทุนค่าขายอุปกรณ์]]*$L$4,Table1351452010[[#This Row],[ค่าขายอุปกรณ์]]*$L$4)</f>
        <v>0</v>
      </c>
      <c r="M9" s="266">
        <f>IF(Table1351452010[[#This Row],[ค่าขายอุปกรณ์]]&gt;Table1351452010[[#This Row],[ต้นทุนค่าขายอุปกรณ์]],SUM(Table1351452010[[#This Row],[ค่าขายอุปกรณ์]]-Table1351452010[[#This Row],[ต้นทุนค่าขายอุปกรณ์]])*$M$4,0)</f>
        <v>0</v>
      </c>
      <c r="N9" s="541">
        <f>SUM(Table1351452010[[#This Row],[คอมฯอุปกรณ์
 5%]:[คอมฯ อุปกรณ์
25%]])</f>
        <v>0</v>
      </c>
      <c r="O9" s="267"/>
      <c r="P9" s="267"/>
      <c r="Q9" s="541">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9" s="546">
        <f>SUM(Table1351452010[[#This Row],[Total
รายการเบิก
คอมขาย]],Table1351452010[[#This Row],[Total
คอมฯ อุปกรณ์]])+Table1351452010[[#This Row],[Total 
คอมฯค่าติดตั้ง/ค่าเชื่อมสัญญาณ]]</f>
        <v>1400</v>
      </c>
      <c r="S9" s="268" t="s">
        <v>152</v>
      </c>
      <c r="T9" s="511" t="s">
        <v>145</v>
      </c>
      <c r="U9" s="249" t="s">
        <v>149</v>
      </c>
      <c r="V9" s="3"/>
    </row>
    <row r="10" spans="1:23" s="250" customFormat="1" ht="23.4" customHeight="1">
      <c r="A10" s="275">
        <v>8.1</v>
      </c>
      <c r="B10" s="252"/>
      <c r="C10" s="253" t="s">
        <v>151</v>
      </c>
      <c r="D10" s="41"/>
      <c r="E10" s="41"/>
      <c r="F10" s="41"/>
      <c r="G10" s="44"/>
      <c r="H10" s="254"/>
      <c r="I10" s="542"/>
      <c r="J10" s="150"/>
      <c r="K10" s="389"/>
      <c r="L10" s="255"/>
      <c r="M10" s="256"/>
      <c r="N10" s="542"/>
      <c r="O10" s="50"/>
      <c r="P10" s="50"/>
      <c r="Q10" s="542"/>
      <c r="R10" s="547" t="s">
        <v>108</v>
      </c>
      <c r="S10" s="271"/>
      <c r="T10" s="271"/>
      <c r="U10" s="272"/>
      <c r="V10" s="3"/>
    </row>
    <row r="11" spans="1:23" s="250" customFormat="1" ht="23.4" customHeight="1" thickBot="1">
      <c r="A11" s="276">
        <v>8.1999999999999993</v>
      </c>
      <c r="B11" s="260"/>
      <c r="C11" s="412"/>
      <c r="D11" s="39"/>
      <c r="E11" s="39"/>
      <c r="F11" s="41"/>
      <c r="G11" s="44"/>
      <c r="H11" s="262"/>
      <c r="I11" s="543"/>
      <c r="J11" s="41"/>
      <c r="K11" s="390"/>
      <c r="L11" s="256"/>
      <c r="M11" s="256"/>
      <c r="N11" s="543"/>
      <c r="O11" s="51"/>
      <c r="P11" s="51"/>
      <c r="Q11" s="543"/>
      <c r="R11" s="548"/>
      <c r="S11" s="273"/>
      <c r="T11" s="433"/>
      <c r="U11" s="264"/>
      <c r="V11" s="277"/>
    </row>
    <row r="12" spans="1:23" s="250" customFormat="1" ht="23.4" customHeight="1">
      <c r="A12" s="274">
        <v>3</v>
      </c>
      <c r="B12" s="512">
        <v>120000068826</v>
      </c>
      <c r="C12" s="19" t="s">
        <v>153</v>
      </c>
      <c r="D12" s="32" t="s">
        <v>78</v>
      </c>
      <c r="E12" s="32" t="s">
        <v>46</v>
      </c>
      <c r="F12" s="40">
        <v>2500</v>
      </c>
      <c r="G12" s="394">
        <v>243923</v>
      </c>
      <c r="H12" s="245"/>
      <c r="I12" s="541">
        <f>Table1351452010[[#This Row],[ค่าบริการรายเดือนตาม Package]]+Table1351452010[[#This Row],[รายการเบิก
คอมขายเพิ่มเติม
(เป้าตามกำหนด)
100-200%]]</f>
        <v>2500</v>
      </c>
      <c r="J12" s="40"/>
      <c r="K12" s="246"/>
      <c r="L12" s="266">
        <f>IF(Table1351452010[[#This Row],[ค่าขายอุปกรณ์]]&gt;Table1351452010[[#This Row],[ต้นทุนค่าขายอุปกรณ์]],Table1351452010[[#This Row],[ต้นทุนค่าขายอุปกรณ์]]*$L$4,Table1351452010[[#This Row],[ค่าขายอุปกรณ์]]*$L$4)</f>
        <v>0</v>
      </c>
      <c r="M12" s="266">
        <f>IF(Table1351452010[[#This Row],[ค่าขายอุปกรณ์]]&gt;Table1351452010[[#This Row],[ต้นทุนค่าขายอุปกรณ์]],SUM(Table1351452010[[#This Row],[ค่าขายอุปกรณ์]]-Table1351452010[[#This Row],[ต้นทุนค่าขายอุปกรณ์]])*$M$4,0)</f>
        <v>0</v>
      </c>
      <c r="N12" s="541">
        <f>SUM(Table1351452010[[#This Row],[คอมฯอุปกรณ์
 5%]:[คอมฯ อุปกรณ์
25%]])</f>
        <v>0</v>
      </c>
      <c r="O12" s="267"/>
      <c r="P12" s="267"/>
      <c r="Q12" s="541">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12" s="546">
        <f>SUM(Table1351452010[[#This Row],[Total
รายการเบิก
คอมขาย]],Table1351452010[[#This Row],[Total
คอมฯ อุปกรณ์]])+Table1351452010[[#This Row],[Total 
คอมฯค่าติดตั้ง/ค่าเชื่อมสัญญาณ]]</f>
        <v>2500</v>
      </c>
      <c r="S12" s="268" t="s">
        <v>155</v>
      </c>
      <c r="T12" s="511" t="s">
        <v>145</v>
      </c>
      <c r="U12" s="249" t="s">
        <v>156</v>
      </c>
      <c r="V12" s="3"/>
    </row>
    <row r="13" spans="1:23" s="250" customFormat="1" ht="23.4" customHeight="1">
      <c r="A13" s="275">
        <v>8.1</v>
      </c>
      <c r="B13" s="252"/>
      <c r="C13" s="253" t="s">
        <v>154</v>
      </c>
      <c r="D13" s="41"/>
      <c r="E13" s="41"/>
      <c r="F13" s="41"/>
      <c r="G13" s="44"/>
      <c r="H13" s="254"/>
      <c r="I13" s="542"/>
      <c r="J13" s="150"/>
      <c r="K13" s="389"/>
      <c r="L13" s="255"/>
      <c r="M13" s="256"/>
      <c r="N13" s="542"/>
      <c r="O13" s="50"/>
      <c r="P13" s="50"/>
      <c r="Q13" s="542"/>
      <c r="R13" s="547" t="s">
        <v>108</v>
      </c>
      <c r="S13" s="271"/>
      <c r="T13" s="271"/>
      <c r="U13" s="272"/>
      <c r="V13" s="3"/>
    </row>
    <row r="14" spans="1:23" s="250" customFormat="1" ht="23.4" customHeight="1" thickBot="1">
      <c r="A14" s="276">
        <v>8.1999999999999993</v>
      </c>
      <c r="B14" s="260"/>
      <c r="C14" s="412"/>
      <c r="D14" s="39"/>
      <c r="E14" s="39"/>
      <c r="F14" s="41"/>
      <c r="G14" s="44"/>
      <c r="H14" s="262"/>
      <c r="I14" s="543"/>
      <c r="J14" s="41"/>
      <c r="K14" s="390"/>
      <c r="L14" s="256"/>
      <c r="M14" s="256"/>
      <c r="N14" s="543"/>
      <c r="O14" s="51"/>
      <c r="P14" s="51"/>
      <c r="Q14" s="543"/>
      <c r="R14" s="548"/>
      <c r="S14" s="273"/>
      <c r="T14" s="273"/>
      <c r="U14" s="264"/>
      <c r="V14" s="277"/>
    </row>
    <row r="15" spans="1:23" s="250" customFormat="1" ht="23.4" customHeight="1">
      <c r="A15" s="274">
        <v>4</v>
      </c>
      <c r="B15" s="512">
        <v>120000068528</v>
      </c>
      <c r="C15" s="19" t="s">
        <v>157</v>
      </c>
      <c r="D15" s="32" t="s">
        <v>83</v>
      </c>
      <c r="E15" s="32" t="s">
        <v>46</v>
      </c>
      <c r="F15" s="40">
        <v>2056.0700000000002</v>
      </c>
      <c r="G15" s="394">
        <v>243923</v>
      </c>
      <c r="H15" s="245"/>
      <c r="I15" s="541">
        <f>Table1351452010[[#This Row],[ค่าบริการรายเดือนตาม Package]]+Table1351452010[[#This Row],[รายการเบิก
คอมขายเพิ่มเติม
(เป้าตามกำหนด)
100-200%]]</f>
        <v>2056.0700000000002</v>
      </c>
      <c r="J15" s="40"/>
      <c r="K15" s="246"/>
      <c r="L15" s="266">
        <f>IF(Table1351452010[[#This Row],[ค่าขายอุปกรณ์]]&gt;Table1351452010[[#This Row],[ต้นทุนค่าขายอุปกรณ์]],Table1351452010[[#This Row],[ต้นทุนค่าขายอุปกรณ์]]*$L$4,Table1351452010[[#This Row],[ค่าขายอุปกรณ์]]*$L$4)</f>
        <v>0</v>
      </c>
      <c r="M15" s="266">
        <f>IF(Table1351452010[[#This Row],[ค่าขายอุปกรณ์]]&gt;Table1351452010[[#This Row],[ต้นทุนค่าขายอุปกรณ์]],SUM(Table1351452010[[#This Row],[ค่าขายอุปกรณ์]]-Table1351452010[[#This Row],[ต้นทุนค่าขายอุปกรณ์]])*$M$4,0)</f>
        <v>0</v>
      </c>
      <c r="N15" s="541">
        <f>SUM(Table1351452010[[#This Row],[คอมฯอุปกรณ์
 5%]:[คอมฯ อุปกรณ์
25%]])</f>
        <v>0</v>
      </c>
      <c r="O15" s="267"/>
      <c r="P15" s="267"/>
      <c r="Q15" s="541">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15" s="546">
        <f>SUM(Table1351452010[[#This Row],[Total
รายการเบิก
คอมขาย]],Table1351452010[[#This Row],[Total
คอมฯ อุปกรณ์]])+Table1351452010[[#This Row],[Total 
คอมฯค่าติดตั้ง/ค่าเชื่อมสัญญาณ]]</f>
        <v>2056.0700000000002</v>
      </c>
      <c r="S15" s="268" t="s">
        <v>159</v>
      </c>
      <c r="T15" s="511" t="s">
        <v>145</v>
      </c>
      <c r="U15" s="269" t="s">
        <v>149</v>
      </c>
      <c r="V15" s="3"/>
    </row>
    <row r="16" spans="1:23" s="250" customFormat="1" ht="23.4" customHeight="1">
      <c r="A16" s="275">
        <v>8.1</v>
      </c>
      <c r="B16" s="252"/>
      <c r="C16" s="253" t="s">
        <v>158</v>
      </c>
      <c r="D16" s="41"/>
      <c r="E16" s="41"/>
      <c r="F16" s="41"/>
      <c r="G16" s="44"/>
      <c r="H16" s="254"/>
      <c r="I16" s="542"/>
      <c r="J16" s="150"/>
      <c r="K16" s="389"/>
      <c r="L16" s="255"/>
      <c r="M16" s="256"/>
      <c r="N16" s="542"/>
      <c r="O16" s="50"/>
      <c r="P16" s="50"/>
      <c r="Q16" s="542"/>
      <c r="R16" s="547" t="s">
        <v>108</v>
      </c>
      <c r="S16" s="271"/>
      <c r="T16" s="271"/>
      <c r="U16" s="272"/>
      <c r="V16" s="3"/>
    </row>
    <row r="17" spans="1:22" s="250" customFormat="1" ht="23.4" customHeight="1" thickBot="1">
      <c r="A17" s="276">
        <v>8.1999999999999993</v>
      </c>
      <c r="B17" s="260"/>
      <c r="C17" s="412"/>
      <c r="D17" s="39"/>
      <c r="E17" s="39"/>
      <c r="F17" s="41"/>
      <c r="G17" s="44"/>
      <c r="H17" s="262"/>
      <c r="I17" s="543"/>
      <c r="J17" s="41"/>
      <c r="K17" s="390"/>
      <c r="L17" s="256"/>
      <c r="M17" s="256"/>
      <c r="N17" s="543"/>
      <c r="O17" s="51"/>
      <c r="P17" s="51"/>
      <c r="Q17" s="543"/>
      <c r="R17" s="548"/>
      <c r="S17" s="273"/>
      <c r="T17" s="273"/>
      <c r="U17" s="264"/>
      <c r="V17" s="277"/>
    </row>
    <row r="18" spans="1:22" s="250" customFormat="1" ht="23.4" customHeight="1">
      <c r="A18" s="274">
        <v>5</v>
      </c>
      <c r="B18" s="512">
        <v>120000058764</v>
      </c>
      <c r="C18" s="19" t="s">
        <v>160</v>
      </c>
      <c r="D18" s="32" t="s">
        <v>78</v>
      </c>
      <c r="E18" s="32" t="s">
        <v>46</v>
      </c>
      <c r="F18" s="40"/>
      <c r="G18" s="394"/>
      <c r="H18" s="245"/>
      <c r="I18" s="541">
        <f>Table1351452010[[#This Row],[ค่าบริการรายเดือนตาม Package]]+Table1351452010[[#This Row],[รายการเบิก
คอมขายเพิ่มเติม
(เป้าตามกำหนด)
100-200%]]</f>
        <v>0</v>
      </c>
      <c r="J18" s="40"/>
      <c r="K18" s="246"/>
      <c r="L18" s="266">
        <f>IF(Table1351452010[[#This Row],[ค่าขายอุปกรณ์]]&gt;Table1351452010[[#This Row],[ต้นทุนค่าขายอุปกรณ์]],Table1351452010[[#This Row],[ต้นทุนค่าขายอุปกรณ์]]*$L$4,Table1351452010[[#This Row],[ค่าขายอุปกรณ์]]*$L$4)</f>
        <v>0</v>
      </c>
      <c r="M18" s="266">
        <f>IF(Table1351452010[[#This Row],[ค่าขายอุปกรณ์]]&gt;Table1351452010[[#This Row],[ต้นทุนค่าขายอุปกรณ์]],SUM(Table1351452010[[#This Row],[ค่าขายอุปกรณ์]]-Table1351452010[[#This Row],[ต้นทุนค่าขายอุปกรณ์]])*$M$4,0)</f>
        <v>0</v>
      </c>
      <c r="N18" s="541">
        <f>SUM(Table1351452010[[#This Row],[คอมฯอุปกรณ์
 5%]:[คอมฯ อุปกรณ์
25%]])</f>
        <v>0</v>
      </c>
      <c r="O18" s="267">
        <v>1000</v>
      </c>
      <c r="P18" s="559">
        <v>556.35</v>
      </c>
      <c r="Q18" s="541">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110.91249999999999</v>
      </c>
      <c r="R18" s="546">
        <f>SUM(Table1351452010[[#This Row],[Total
รายการเบิก
คอมขาย]],Table1351452010[[#This Row],[Total
คอมฯ อุปกรณ์]])+Table1351452010[[#This Row],[Total 
คอมฯค่าติดตั้ง/ค่าเชื่อมสัญญาณ]]</f>
        <v>110.91249999999999</v>
      </c>
      <c r="S18" s="268" t="s">
        <v>161</v>
      </c>
      <c r="T18" s="511" t="s">
        <v>145</v>
      </c>
      <c r="U18" s="269" t="s">
        <v>144</v>
      </c>
      <c r="V18" s="3"/>
    </row>
    <row r="19" spans="1:22" s="250" customFormat="1" ht="23.4" customHeight="1">
      <c r="A19" s="275">
        <v>8.1</v>
      </c>
      <c r="B19" s="252"/>
      <c r="C19" s="253"/>
      <c r="D19" s="41"/>
      <c r="E19" s="41"/>
      <c r="F19" s="41"/>
      <c r="G19" s="44"/>
      <c r="H19" s="254"/>
      <c r="I19" s="542"/>
      <c r="J19" s="150"/>
      <c r="K19" s="389"/>
      <c r="L19" s="255"/>
      <c r="M19" s="256"/>
      <c r="N19" s="542"/>
      <c r="O19" s="50"/>
      <c r="P19" s="50"/>
      <c r="Q19" s="542"/>
      <c r="R19" s="547" t="s">
        <v>108</v>
      </c>
      <c r="S19" s="271"/>
      <c r="T19" s="271"/>
      <c r="U19" s="272"/>
      <c r="V19" s="3"/>
    </row>
    <row r="20" spans="1:22" s="250" customFormat="1" ht="23.4" customHeight="1" thickBot="1">
      <c r="A20" s="276">
        <v>8.1999999999999993</v>
      </c>
      <c r="B20" s="260"/>
      <c r="C20" s="412"/>
      <c r="D20" s="39"/>
      <c r="E20" s="39"/>
      <c r="F20" s="41"/>
      <c r="G20" s="44"/>
      <c r="H20" s="262"/>
      <c r="I20" s="543"/>
      <c r="J20" s="41"/>
      <c r="K20" s="390"/>
      <c r="L20" s="256"/>
      <c r="M20" s="256"/>
      <c r="N20" s="543"/>
      <c r="O20" s="51"/>
      <c r="P20" s="51"/>
      <c r="Q20" s="543"/>
      <c r="R20" s="548"/>
      <c r="S20" s="273"/>
      <c r="T20" s="273"/>
      <c r="U20" s="264"/>
      <c r="V20" s="277"/>
    </row>
    <row r="21" spans="1:22" s="250" customFormat="1" ht="23.4" customHeight="1">
      <c r="A21" s="274">
        <v>6</v>
      </c>
      <c r="B21" s="512">
        <v>120000051462</v>
      </c>
      <c r="C21" s="19" t="s">
        <v>162</v>
      </c>
      <c r="D21" s="32" t="s">
        <v>78</v>
      </c>
      <c r="E21" s="32" t="s">
        <v>46</v>
      </c>
      <c r="F21" s="40"/>
      <c r="G21" s="394"/>
      <c r="H21" s="245"/>
      <c r="I21" s="541">
        <f>Table1351452010[[#This Row],[ค่าบริการรายเดือนตาม Package]]+Table1351452010[[#This Row],[รายการเบิก
คอมขายเพิ่มเติม
(เป้าตามกำหนด)
100-200%]]</f>
        <v>0</v>
      </c>
      <c r="J21" s="40"/>
      <c r="K21" s="246"/>
      <c r="L21" s="266">
        <f>IF(Table1351452010[[#This Row],[ค่าขายอุปกรณ์]]&gt;Table1351452010[[#This Row],[ต้นทุนค่าขายอุปกรณ์]],Table1351452010[[#This Row],[ต้นทุนค่าขายอุปกรณ์]]*$L$4,Table1351452010[[#This Row],[ค่าขายอุปกรณ์]]*$L$4)</f>
        <v>0</v>
      </c>
      <c r="M21" s="266">
        <f>IF(Table1351452010[[#This Row],[ค่าขายอุปกรณ์]]&gt;Table1351452010[[#This Row],[ต้นทุนค่าขายอุปกรณ์]],SUM(Table1351452010[[#This Row],[ค่าขายอุปกรณ์]]-Table1351452010[[#This Row],[ต้นทุนค่าขายอุปกรณ์]])*$M$4,0)</f>
        <v>0</v>
      </c>
      <c r="N21" s="541">
        <f>SUM(Table1351452010[[#This Row],[คอมฯอุปกรณ์
 5%]:[คอมฯ อุปกรณ์
25%]])</f>
        <v>0</v>
      </c>
      <c r="O21" s="267">
        <v>3000</v>
      </c>
      <c r="P21" s="559">
        <v>2552.29</v>
      </c>
      <c r="Q21" s="541">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111.92750000000001</v>
      </c>
      <c r="R21" s="546">
        <f>SUM(Table1351452010[[#This Row],[Total
รายการเบิก
คอมขาย]],Table1351452010[[#This Row],[Total
คอมฯ อุปกรณ์]])+Table1351452010[[#This Row],[Total 
คอมฯค่าติดตั้ง/ค่าเชื่อมสัญญาณ]]</f>
        <v>111.92750000000001</v>
      </c>
      <c r="S21" s="268" t="s">
        <v>164</v>
      </c>
      <c r="T21" s="511" t="s">
        <v>145</v>
      </c>
      <c r="U21" s="269" t="s">
        <v>165</v>
      </c>
      <c r="V21" s="3"/>
    </row>
    <row r="22" spans="1:22" s="250" customFormat="1" ht="23.4" customHeight="1">
      <c r="A22" s="275">
        <v>8.1</v>
      </c>
      <c r="B22" s="252"/>
      <c r="C22" s="253" t="s">
        <v>163</v>
      </c>
      <c r="D22" s="41"/>
      <c r="E22" s="41"/>
      <c r="F22" s="41"/>
      <c r="G22" s="44"/>
      <c r="H22" s="254"/>
      <c r="I22" s="542"/>
      <c r="J22" s="150"/>
      <c r="K22" s="389"/>
      <c r="L22" s="255"/>
      <c r="M22" s="256"/>
      <c r="N22" s="542"/>
      <c r="O22" s="50"/>
      <c r="P22" s="50"/>
      <c r="Q22" s="542"/>
      <c r="R22" s="547" t="s">
        <v>108</v>
      </c>
      <c r="S22" s="271"/>
      <c r="T22" s="271"/>
      <c r="U22" s="272"/>
      <c r="V22" s="3"/>
    </row>
    <row r="23" spans="1:22" s="250" customFormat="1" ht="23.4" customHeight="1" thickBot="1">
      <c r="A23" s="276">
        <v>8.1999999999999993</v>
      </c>
      <c r="B23" s="260"/>
      <c r="C23" s="412"/>
      <c r="D23" s="39"/>
      <c r="E23" s="39"/>
      <c r="F23" s="41"/>
      <c r="G23" s="44"/>
      <c r="H23" s="262"/>
      <c r="I23" s="543"/>
      <c r="J23" s="41"/>
      <c r="K23" s="390"/>
      <c r="L23" s="256"/>
      <c r="M23" s="256"/>
      <c r="N23" s="543"/>
      <c r="O23" s="51"/>
      <c r="P23" s="51"/>
      <c r="Q23" s="543"/>
      <c r="R23" s="548"/>
      <c r="S23" s="273"/>
      <c r="T23" s="273"/>
      <c r="U23" s="264"/>
      <c r="V23" s="277"/>
    </row>
    <row r="24" spans="1:22" s="3" customFormat="1" ht="27.45" customHeight="1">
      <c r="A24" s="274">
        <v>7</v>
      </c>
      <c r="B24" s="512">
        <v>120000068828</v>
      </c>
      <c r="C24" s="19" t="s">
        <v>166</v>
      </c>
      <c r="D24" s="32" t="s">
        <v>168</v>
      </c>
      <c r="E24" s="32" t="s">
        <v>46</v>
      </c>
      <c r="F24" s="278">
        <v>4000</v>
      </c>
      <c r="G24" s="394">
        <v>243892</v>
      </c>
      <c r="H24" s="245"/>
      <c r="I24" s="541">
        <f>Table1351452010[[#This Row],[ค่าบริการรายเดือนตาม Package]]+Table1351452010[[#This Row],[รายการเบิก
คอมขายเพิ่มเติม
(เป้าตามกำหนด)
100-200%]]</f>
        <v>4000</v>
      </c>
      <c r="J24" s="40"/>
      <c r="K24" s="278"/>
      <c r="L24" s="279">
        <f>IF(Table1351452010[[#This Row],[ค่าขายอุปกรณ์]]&gt;Table1351452010[[#This Row],[ต้นทุนค่าขายอุปกรณ์]],Table1351452010[[#This Row],[ต้นทุนค่าขายอุปกรณ์]]*$L$4,Table1351452010[[#This Row],[ค่าขายอุปกรณ์]]*$L$4)</f>
        <v>0</v>
      </c>
      <c r="M24" s="280">
        <f>IF(Table1351452010[[#This Row],[ค่าขายอุปกรณ์]]&gt;Table1351452010[[#This Row],[ต้นทุนค่าขายอุปกรณ์]],SUM(Table1351452010[[#This Row],[ค่าขายอุปกรณ์]]-Table1351452010[[#This Row],[ต้นทุนค่าขายอุปกรณ์]])*$M$4,0)</f>
        <v>0</v>
      </c>
      <c r="N24" s="541">
        <f>SUM(Table1351452010[[#This Row],[คอมฯอุปกรณ์
 5%]:[คอมฯ อุปกรณ์
25%]])</f>
        <v>0</v>
      </c>
      <c r="O24" s="267"/>
      <c r="P24" s="267"/>
      <c r="Q24" s="545">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24" s="546">
        <f>SUM(Table1351452010[[#This Row],[Total
รายการเบิก
คอมขาย]],Table1351452010[[#This Row],[Total
คอมฯ อุปกรณ์]])+Table1351452010[[#This Row],[Total 
คอมฯค่าติดตั้ง/ค่าเชื่อมสัญญาณ]]</f>
        <v>4000</v>
      </c>
      <c r="S24" s="268" t="s">
        <v>169</v>
      </c>
      <c r="T24" s="511" t="s">
        <v>145</v>
      </c>
      <c r="U24" s="269" t="s">
        <v>170</v>
      </c>
    </row>
    <row r="25" spans="1:22" s="250" customFormat="1" ht="27" customHeight="1">
      <c r="A25" s="275">
        <v>8.1</v>
      </c>
      <c r="B25" s="281"/>
      <c r="C25" s="270" t="s">
        <v>167</v>
      </c>
      <c r="D25" s="282"/>
      <c r="E25" s="41"/>
      <c r="F25" s="41"/>
      <c r="G25" s="44"/>
      <c r="H25" s="254"/>
      <c r="I25" s="542"/>
      <c r="J25" s="150"/>
      <c r="K25" s="389"/>
      <c r="L25" s="255"/>
      <c r="M25" s="256"/>
      <c r="N25" s="542"/>
      <c r="O25" s="50"/>
      <c r="P25" s="50"/>
      <c r="Q25" s="542"/>
      <c r="R25" s="547" t="s">
        <v>108</v>
      </c>
      <c r="S25" s="132"/>
      <c r="T25" s="271"/>
      <c r="U25" s="272"/>
      <c r="V25" s="3"/>
    </row>
    <row r="26" spans="1:22" s="250" customFormat="1" ht="27" customHeight="1" thickBot="1">
      <c r="A26" s="276">
        <v>8.1999999999999993</v>
      </c>
      <c r="B26" s="283"/>
      <c r="C26" s="261"/>
      <c r="D26" s="285"/>
      <c r="E26" s="39"/>
      <c r="F26" s="41"/>
      <c r="G26" s="44"/>
      <c r="H26" s="262"/>
      <c r="I26" s="543"/>
      <c r="J26" s="41"/>
      <c r="K26" s="390"/>
      <c r="L26" s="256"/>
      <c r="M26" s="256"/>
      <c r="N26" s="543"/>
      <c r="O26" s="51"/>
      <c r="P26" s="51"/>
      <c r="Q26" s="543"/>
      <c r="R26" s="548"/>
      <c r="S26" s="132"/>
      <c r="T26" s="271"/>
      <c r="U26" s="264"/>
      <c r="V26" s="3"/>
    </row>
    <row r="27" spans="1:22" s="3" customFormat="1" ht="27.45" hidden="1" customHeight="1">
      <c r="A27" s="274">
        <v>5</v>
      </c>
      <c r="B27" s="265"/>
      <c r="C27" s="19"/>
      <c r="D27" s="32"/>
      <c r="E27" s="32"/>
      <c r="F27" s="278"/>
      <c r="G27" s="394"/>
      <c r="H27" s="245"/>
      <c r="I27" s="541">
        <f>Table1351452010[[#This Row],[ค่าบริการรายเดือนตาม Package]]+Table1351452010[[#This Row],[รายการเบิก
คอมขายเพิ่มเติม
(เป้าตามกำหนด)
100-200%]]</f>
        <v>0</v>
      </c>
      <c r="J27" s="40"/>
      <c r="K27" s="278"/>
      <c r="L27" s="279">
        <f>IF(Table1351452010[[#This Row],[ค่าขายอุปกรณ์]]&gt;Table1351452010[[#This Row],[ต้นทุนค่าขายอุปกรณ์]],Table1351452010[[#This Row],[ต้นทุนค่าขายอุปกรณ์]]*$L$4,Table1351452010[[#This Row],[ค่าขายอุปกรณ์]]*$L$4)</f>
        <v>0</v>
      </c>
      <c r="M27" s="280">
        <f>IF(Table1351452010[[#This Row],[ค่าขายอุปกรณ์]]&gt;Table1351452010[[#This Row],[ต้นทุนค่าขายอุปกรณ์]],SUM(Table1351452010[[#This Row],[ค่าขายอุปกรณ์]]-Table1351452010[[#This Row],[ต้นทุนค่าขายอุปกรณ์]])*$M$4,0)</f>
        <v>0</v>
      </c>
      <c r="N27" s="541">
        <f>SUM(Table1351452010[[#This Row],[คอมฯอุปกรณ์
 5%]:[คอมฯ อุปกรณ์
25%]])</f>
        <v>0</v>
      </c>
      <c r="O27" s="267"/>
      <c r="P27" s="267"/>
      <c r="Q27" s="545">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27" s="248">
        <f>SUM(Table1351452010[[#This Row],[Total
รายการเบิก
คอมขาย]],Table1351452010[[#This Row],[Total
คอมฯ อุปกรณ์]])+Table1351452010[[#This Row],[Total 
คอมฯค่าติดตั้ง/ค่าเชื่อมสัญญาณ]]</f>
        <v>0</v>
      </c>
      <c r="S27" s="268"/>
      <c r="T27" s="268"/>
      <c r="U27" s="269"/>
    </row>
    <row r="28" spans="1:22" s="250" customFormat="1" ht="27" hidden="1" customHeight="1">
      <c r="A28" s="275">
        <v>8.1</v>
      </c>
      <c r="B28" s="286"/>
      <c r="C28" s="20"/>
      <c r="D28" s="282"/>
      <c r="E28" s="41"/>
      <c r="F28" s="41"/>
      <c r="G28" s="287"/>
      <c r="H28" s="254"/>
      <c r="I28" s="542"/>
      <c r="J28" s="150"/>
      <c r="K28" s="389"/>
      <c r="L28" s="255"/>
      <c r="M28" s="256"/>
      <c r="N28" s="542"/>
      <c r="O28" s="50"/>
      <c r="P28" s="50"/>
      <c r="Q28" s="542"/>
      <c r="R28" s="257" t="s">
        <v>108</v>
      </c>
      <c r="S28" s="132"/>
      <c r="T28" s="271"/>
      <c r="U28" s="272"/>
      <c r="V28" s="3"/>
    </row>
    <row r="29" spans="1:22" s="250" customFormat="1" ht="27" hidden="1" customHeight="1" thickBot="1">
      <c r="A29" s="276">
        <v>8.1999999999999993</v>
      </c>
      <c r="B29" s="283"/>
      <c r="C29" s="284"/>
      <c r="D29" s="285"/>
      <c r="E29" s="39"/>
      <c r="F29" s="41"/>
      <c r="G29" s="44"/>
      <c r="H29" s="262"/>
      <c r="I29" s="543"/>
      <c r="J29" s="41"/>
      <c r="K29" s="390"/>
      <c r="L29" s="256"/>
      <c r="M29" s="256"/>
      <c r="N29" s="543"/>
      <c r="O29" s="51"/>
      <c r="P29" s="51"/>
      <c r="Q29" s="543"/>
      <c r="R29" s="263"/>
      <c r="S29" s="132"/>
      <c r="T29" s="271"/>
      <c r="U29" s="264"/>
      <c r="V29" s="3"/>
    </row>
    <row r="30" spans="1:22" s="3" customFormat="1" ht="27.45" hidden="1" customHeight="1">
      <c r="A30" s="274">
        <v>6</v>
      </c>
      <c r="B30" s="265"/>
      <c r="C30" s="19"/>
      <c r="D30" s="32"/>
      <c r="E30" s="32"/>
      <c r="F30" s="278"/>
      <c r="G30" s="394"/>
      <c r="H30" s="245"/>
      <c r="I30" s="541">
        <f>Table1351452010[[#This Row],[ค่าบริการรายเดือนตาม Package]]+Table1351452010[[#This Row],[รายการเบิก
คอมขายเพิ่มเติม
(เป้าตามกำหนด)
100-200%]]</f>
        <v>0</v>
      </c>
      <c r="J30" s="40"/>
      <c r="K30" s="278"/>
      <c r="L30" s="279">
        <f>IF(Table1351452010[[#This Row],[ค่าขายอุปกรณ์]]&gt;Table1351452010[[#This Row],[ต้นทุนค่าขายอุปกรณ์]],Table1351452010[[#This Row],[ต้นทุนค่าขายอุปกรณ์]]*$L$4,Table1351452010[[#This Row],[ค่าขายอุปกรณ์]]*$L$4)</f>
        <v>0</v>
      </c>
      <c r="M30" s="280">
        <f>IF(Table1351452010[[#This Row],[ค่าขายอุปกรณ์]]&gt;Table1351452010[[#This Row],[ต้นทุนค่าขายอุปกรณ์]],SUM(Table1351452010[[#This Row],[ค่าขายอุปกรณ์]]-Table1351452010[[#This Row],[ต้นทุนค่าขายอุปกรณ์]])*$M$4,0)</f>
        <v>0</v>
      </c>
      <c r="N30" s="541">
        <f>SUM(Table1351452010[[#This Row],[คอมฯอุปกรณ์
 5%]:[คอมฯ อุปกรณ์
25%]])</f>
        <v>0</v>
      </c>
      <c r="O30" s="267"/>
      <c r="P30" s="267"/>
      <c r="Q30" s="545">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30" s="248">
        <f>SUM(Table1351452010[[#This Row],[Total
รายการเบิก
คอมขาย]],Table1351452010[[#This Row],[Total
คอมฯ อุปกรณ์]])+Table1351452010[[#This Row],[Total 
คอมฯค่าติดตั้ง/ค่าเชื่อมสัญญาณ]]</f>
        <v>0</v>
      </c>
      <c r="S30" s="268"/>
      <c r="T30" s="268"/>
      <c r="U30" s="269"/>
    </row>
    <row r="31" spans="1:22" s="250" customFormat="1" ht="27" hidden="1" customHeight="1">
      <c r="A31" s="275">
        <v>8.1</v>
      </c>
      <c r="B31" s="288"/>
      <c r="C31" s="20"/>
      <c r="D31" s="282"/>
      <c r="E31" s="41"/>
      <c r="F31" s="41"/>
      <c r="G31" s="44"/>
      <c r="H31" s="254"/>
      <c r="I31" s="542"/>
      <c r="J31" s="150"/>
      <c r="K31" s="389"/>
      <c r="L31" s="255"/>
      <c r="M31" s="256"/>
      <c r="N31" s="542"/>
      <c r="O31" s="50"/>
      <c r="P31" s="50"/>
      <c r="Q31" s="542"/>
      <c r="R31" s="257" t="s">
        <v>108</v>
      </c>
      <c r="S31" s="132"/>
      <c r="T31" s="271"/>
      <c r="U31" s="272"/>
      <c r="V31" s="3"/>
    </row>
    <row r="32" spans="1:22" s="250" customFormat="1" ht="27" hidden="1" customHeight="1" thickBot="1">
      <c r="A32" s="276">
        <v>8.1999999999999993</v>
      </c>
      <c r="B32" s="289"/>
      <c r="C32" s="284"/>
      <c r="D32" s="285"/>
      <c r="E32" s="39"/>
      <c r="F32" s="41"/>
      <c r="G32" s="44"/>
      <c r="H32" s="262"/>
      <c r="I32" s="543"/>
      <c r="J32" s="41"/>
      <c r="K32" s="390"/>
      <c r="L32" s="256"/>
      <c r="M32" s="256"/>
      <c r="N32" s="543"/>
      <c r="O32" s="51"/>
      <c r="P32" s="51"/>
      <c r="Q32" s="543"/>
      <c r="R32" s="263"/>
      <c r="S32" s="132"/>
      <c r="T32" s="271"/>
      <c r="U32" s="264"/>
      <c r="V32" s="3"/>
    </row>
    <row r="33" spans="1:22" s="3" customFormat="1" ht="27.45" hidden="1" customHeight="1">
      <c r="A33" s="274">
        <v>7</v>
      </c>
      <c r="B33" s="265"/>
      <c r="C33" s="19"/>
      <c r="D33" s="32"/>
      <c r="E33" s="32"/>
      <c r="F33" s="278"/>
      <c r="G33" s="394"/>
      <c r="H33" s="245"/>
      <c r="I33" s="541">
        <f>Table1351452010[[#This Row],[ค่าบริการรายเดือนตาม Package]]+Table1351452010[[#This Row],[รายการเบิก
คอมขายเพิ่มเติม
(เป้าตามกำหนด)
100-200%]]</f>
        <v>0</v>
      </c>
      <c r="J33" s="40"/>
      <c r="K33" s="278"/>
      <c r="L33" s="279">
        <f>IF(Table1351452010[[#This Row],[ค่าขายอุปกรณ์]]&gt;Table1351452010[[#This Row],[ต้นทุนค่าขายอุปกรณ์]],Table1351452010[[#This Row],[ต้นทุนค่าขายอุปกรณ์]]*$L$4,Table1351452010[[#This Row],[ค่าขายอุปกรณ์]]*$L$4)</f>
        <v>0</v>
      </c>
      <c r="M33" s="280">
        <f>IF(Table1351452010[[#This Row],[ค่าขายอุปกรณ์]]&gt;Table1351452010[[#This Row],[ต้นทุนค่าขายอุปกรณ์]],SUM(Table1351452010[[#This Row],[ค่าขายอุปกรณ์]]-Table1351452010[[#This Row],[ต้นทุนค่าขายอุปกรณ์]])*$M$4,0)</f>
        <v>0</v>
      </c>
      <c r="N33" s="541">
        <f>SUM(Table1351452010[[#This Row],[คอมฯอุปกรณ์
 5%]:[คอมฯ อุปกรณ์
25%]])</f>
        <v>0</v>
      </c>
      <c r="O33" s="267"/>
      <c r="P33" s="267"/>
      <c r="Q33" s="545">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33" s="248">
        <f>SUM(Table1351452010[[#This Row],[Total
รายการเบิก
คอมขาย]],Table1351452010[[#This Row],[Total
คอมฯ อุปกรณ์]])+Table1351452010[[#This Row],[Total 
คอมฯค่าติดตั้ง/ค่าเชื่อมสัญญาณ]]</f>
        <v>0</v>
      </c>
      <c r="S33" s="268"/>
      <c r="T33" s="268"/>
      <c r="U33" s="269"/>
    </row>
    <row r="34" spans="1:22" s="250" customFormat="1" ht="27" hidden="1" customHeight="1">
      <c r="A34" s="275">
        <v>8.1</v>
      </c>
      <c r="B34" s="288"/>
      <c r="C34" s="20"/>
      <c r="D34" s="41"/>
      <c r="E34" s="41"/>
      <c r="F34" s="41"/>
      <c r="G34" s="44"/>
      <c r="H34" s="254"/>
      <c r="I34" s="542"/>
      <c r="J34" s="150"/>
      <c r="K34" s="389"/>
      <c r="L34" s="255"/>
      <c r="M34" s="256"/>
      <c r="N34" s="542"/>
      <c r="O34" s="50"/>
      <c r="P34" s="50"/>
      <c r="Q34" s="542"/>
      <c r="R34" s="257" t="s">
        <v>108</v>
      </c>
      <c r="S34" s="132"/>
      <c r="T34" s="271"/>
      <c r="U34" s="272"/>
      <c r="V34" s="3"/>
    </row>
    <row r="35" spans="1:22" s="250" customFormat="1" ht="27" hidden="1" customHeight="1" thickBot="1">
      <c r="A35" s="276">
        <v>8.1999999999999993</v>
      </c>
      <c r="B35" s="289"/>
      <c r="C35" s="284"/>
      <c r="D35" s="285"/>
      <c r="E35" s="39"/>
      <c r="F35" s="41"/>
      <c r="G35" s="44"/>
      <c r="H35" s="262"/>
      <c r="I35" s="543"/>
      <c r="J35" s="41"/>
      <c r="K35" s="390"/>
      <c r="L35" s="256"/>
      <c r="M35" s="256"/>
      <c r="N35" s="543"/>
      <c r="O35" s="51"/>
      <c r="P35" s="51"/>
      <c r="Q35" s="543"/>
      <c r="R35" s="263"/>
      <c r="S35" s="132"/>
      <c r="T35" s="271"/>
      <c r="U35" s="264"/>
      <c r="V35" s="3"/>
    </row>
    <row r="36" spans="1:22" s="3" customFormat="1" ht="27.45" hidden="1" customHeight="1">
      <c r="A36" s="274">
        <v>8</v>
      </c>
      <c r="B36" s="291"/>
      <c r="C36" s="19"/>
      <c r="D36" s="32"/>
      <c r="E36" s="32"/>
      <c r="F36" s="278"/>
      <c r="G36" s="394"/>
      <c r="H36" s="245"/>
      <c r="I36" s="541">
        <f>Table1351452010[[#This Row],[ค่าบริการรายเดือนตาม Package]]+Table1351452010[[#This Row],[รายการเบิก
คอมขายเพิ่มเติม
(เป้าตามกำหนด)
100-200%]]</f>
        <v>0</v>
      </c>
      <c r="J36" s="40"/>
      <c r="K36" s="278"/>
      <c r="L36" s="279">
        <f>IF(Table1351452010[[#This Row],[ค่าขายอุปกรณ์]]&gt;Table1351452010[[#This Row],[ต้นทุนค่าขายอุปกรณ์]],Table1351452010[[#This Row],[ต้นทุนค่าขายอุปกรณ์]]*$L$4,Table1351452010[[#This Row],[ค่าขายอุปกรณ์]]*$L$4)</f>
        <v>0</v>
      </c>
      <c r="M36" s="280">
        <f>IF(Table1351452010[[#This Row],[ค่าขายอุปกรณ์]]&gt;Table1351452010[[#This Row],[ต้นทุนค่าขายอุปกรณ์]],SUM(Table1351452010[[#This Row],[ค่าขายอุปกรณ์]]-Table1351452010[[#This Row],[ต้นทุนค่าขายอุปกรณ์]])*$M$4,0)</f>
        <v>0</v>
      </c>
      <c r="N36" s="541">
        <f>SUM(Table1351452010[[#This Row],[คอมฯอุปกรณ์
 5%]:[คอมฯ อุปกรณ์
25%]])</f>
        <v>0</v>
      </c>
      <c r="O36" s="267"/>
      <c r="P36" s="267"/>
      <c r="Q36" s="545">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36" s="248">
        <f>SUM(Table1351452010[[#This Row],[Total
รายการเบิก
คอมขาย]],Table1351452010[[#This Row],[Total
คอมฯ อุปกรณ์]])+Table1351452010[[#This Row],[Total 
คอมฯค่าติดตั้ง/ค่าเชื่อมสัญญาณ]]</f>
        <v>0</v>
      </c>
      <c r="S36" s="268"/>
      <c r="T36" s="268"/>
      <c r="U36" s="269"/>
    </row>
    <row r="37" spans="1:22" s="250" customFormat="1" ht="27" hidden="1" customHeight="1">
      <c r="A37" s="275">
        <v>8.1</v>
      </c>
      <c r="B37" s="288"/>
      <c r="C37" s="20"/>
      <c r="D37" s="41"/>
      <c r="E37" s="41"/>
      <c r="F37" s="41"/>
      <c r="G37" s="44"/>
      <c r="H37" s="254"/>
      <c r="I37" s="542"/>
      <c r="J37" s="150"/>
      <c r="K37" s="389"/>
      <c r="L37" s="255"/>
      <c r="M37" s="256"/>
      <c r="N37" s="542"/>
      <c r="O37" s="50"/>
      <c r="P37" s="50"/>
      <c r="Q37" s="542"/>
      <c r="R37" s="257" t="s">
        <v>108</v>
      </c>
      <c r="S37" s="132"/>
      <c r="T37" s="271"/>
      <c r="U37" s="272"/>
      <c r="V37" s="3"/>
    </row>
    <row r="38" spans="1:22" s="250" customFormat="1" ht="27" hidden="1" customHeight="1" thickBot="1">
      <c r="A38" s="276">
        <v>8.1999999999999993</v>
      </c>
      <c r="B38" s="289"/>
      <c r="C38" s="284"/>
      <c r="D38" s="285"/>
      <c r="E38" s="39"/>
      <c r="F38" s="41"/>
      <c r="G38" s="44"/>
      <c r="H38" s="262"/>
      <c r="I38" s="543"/>
      <c r="J38" s="41"/>
      <c r="K38" s="390"/>
      <c r="L38" s="256"/>
      <c r="M38" s="256"/>
      <c r="N38" s="543"/>
      <c r="O38" s="51"/>
      <c r="P38" s="51"/>
      <c r="Q38" s="543"/>
      <c r="R38" s="263"/>
      <c r="S38" s="132"/>
      <c r="T38" s="271"/>
      <c r="U38" s="264"/>
      <c r="V38" s="3"/>
    </row>
    <row r="39" spans="1:22" s="3" customFormat="1" ht="27.45" hidden="1" customHeight="1">
      <c r="A39" s="274">
        <v>9</v>
      </c>
      <c r="B39" s="291"/>
      <c r="C39" s="19"/>
      <c r="D39" s="32"/>
      <c r="E39" s="32"/>
      <c r="F39" s="278"/>
      <c r="G39" s="394"/>
      <c r="H39" s="245"/>
      <c r="I39" s="541">
        <f>Table1351452010[[#This Row],[ค่าบริการรายเดือนตาม Package]]+Table1351452010[[#This Row],[รายการเบิก
คอมขายเพิ่มเติม
(เป้าตามกำหนด)
100-200%]]</f>
        <v>0</v>
      </c>
      <c r="J39" s="40"/>
      <c r="K39" s="278"/>
      <c r="L39" s="279">
        <f>IF(Table1351452010[[#This Row],[ค่าขายอุปกรณ์]]&gt;Table1351452010[[#This Row],[ต้นทุนค่าขายอุปกรณ์]],Table1351452010[[#This Row],[ต้นทุนค่าขายอุปกรณ์]]*$L$4,Table1351452010[[#This Row],[ค่าขายอุปกรณ์]]*$L$4)</f>
        <v>0</v>
      </c>
      <c r="M39" s="280">
        <f>IF(Table1351452010[[#This Row],[ค่าขายอุปกรณ์]]&gt;Table1351452010[[#This Row],[ต้นทุนค่าขายอุปกรณ์]],SUM(Table1351452010[[#This Row],[ค่าขายอุปกรณ์]]-Table1351452010[[#This Row],[ต้นทุนค่าขายอุปกรณ์]])*$M$4,0)</f>
        <v>0</v>
      </c>
      <c r="N39" s="541">
        <f>SUM(Table1351452010[[#This Row],[คอมฯอุปกรณ์
 5%]:[คอมฯ อุปกรณ์
25%]])</f>
        <v>0</v>
      </c>
      <c r="O39" s="267"/>
      <c r="P39" s="267"/>
      <c r="Q39" s="545">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39" s="248">
        <f>SUM(Table1351452010[[#This Row],[Total
รายการเบิก
คอมขาย]],Table1351452010[[#This Row],[Total
คอมฯ อุปกรณ์]])+Table1351452010[[#This Row],[Total 
คอมฯค่าติดตั้ง/ค่าเชื่อมสัญญาณ]]</f>
        <v>0</v>
      </c>
      <c r="S39" s="268"/>
      <c r="T39" s="268"/>
      <c r="U39" s="269"/>
    </row>
    <row r="40" spans="1:22" s="250" customFormat="1" ht="27" hidden="1" customHeight="1">
      <c r="A40" s="275">
        <v>8.1</v>
      </c>
      <c r="B40" s="288"/>
      <c r="C40" s="20"/>
      <c r="D40" s="41"/>
      <c r="E40" s="41"/>
      <c r="F40" s="41"/>
      <c r="G40" s="44"/>
      <c r="H40" s="254"/>
      <c r="I40" s="542"/>
      <c r="J40" s="150"/>
      <c r="K40" s="151"/>
      <c r="L40" s="255"/>
      <c r="M40" s="256"/>
      <c r="N40" s="542"/>
      <c r="O40" s="50"/>
      <c r="P40" s="50"/>
      <c r="Q40" s="542"/>
      <c r="R40" s="257" t="s">
        <v>108</v>
      </c>
      <c r="S40" s="132"/>
      <c r="T40" s="271"/>
      <c r="U40" s="272"/>
      <c r="V40" s="3"/>
    </row>
    <row r="41" spans="1:22" s="250" customFormat="1" ht="27" hidden="1" customHeight="1" thickBot="1">
      <c r="A41" s="276">
        <v>8.1999999999999993</v>
      </c>
      <c r="B41" s="289"/>
      <c r="C41" s="284"/>
      <c r="D41" s="285"/>
      <c r="E41" s="39"/>
      <c r="F41" s="41"/>
      <c r="G41" s="44"/>
      <c r="H41" s="262"/>
      <c r="I41" s="543"/>
      <c r="J41" s="41"/>
      <c r="K41" s="41"/>
      <c r="L41" s="256"/>
      <c r="M41" s="256"/>
      <c r="N41" s="543"/>
      <c r="O41" s="51"/>
      <c r="P41" s="51"/>
      <c r="Q41" s="543"/>
      <c r="R41" s="263"/>
      <c r="S41" s="132"/>
      <c r="T41" s="271"/>
      <c r="U41" s="264"/>
      <c r="V41" s="3"/>
    </row>
    <row r="42" spans="1:22" s="3" customFormat="1" ht="27.45" hidden="1" customHeight="1">
      <c r="A42" s="274">
        <v>10</v>
      </c>
      <c r="B42" s="291"/>
      <c r="C42" s="19"/>
      <c r="D42" s="32"/>
      <c r="E42" s="32"/>
      <c r="F42" s="278"/>
      <c r="G42" s="394"/>
      <c r="H42" s="245"/>
      <c r="I42" s="541">
        <f>Table1351452010[[#This Row],[ค่าบริการรายเดือนตาม Package]]+Table1351452010[[#This Row],[รายการเบิก
คอมขายเพิ่มเติม
(เป้าตามกำหนด)
100-200%]]</f>
        <v>0</v>
      </c>
      <c r="J42" s="40"/>
      <c r="K42" s="278"/>
      <c r="L42" s="279">
        <f>IF(Table1351452010[[#This Row],[ค่าขายอุปกรณ์]]&gt;Table1351452010[[#This Row],[ต้นทุนค่าขายอุปกรณ์]],Table1351452010[[#This Row],[ต้นทุนค่าขายอุปกรณ์]]*$L$4,Table1351452010[[#This Row],[ค่าขายอุปกรณ์]]*$L$4)</f>
        <v>0</v>
      </c>
      <c r="M42" s="280">
        <f>IF(Table1351452010[[#This Row],[ค่าขายอุปกรณ์]]&gt;Table1351452010[[#This Row],[ต้นทุนค่าขายอุปกรณ์]],SUM(Table1351452010[[#This Row],[ค่าขายอุปกรณ์]]-Table1351452010[[#This Row],[ต้นทุนค่าขายอุปกรณ์]])*$M$4,0)</f>
        <v>0</v>
      </c>
      <c r="N42" s="541">
        <f>SUM(Table1351452010[[#This Row],[คอมฯอุปกรณ์
 5%]:[คอมฯ อุปกรณ์
25%]])</f>
        <v>0</v>
      </c>
      <c r="O42" s="267"/>
      <c r="P42" s="267"/>
      <c r="Q42" s="545">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42" s="248">
        <f>SUM(Table1351452010[[#This Row],[Total
รายการเบิก
คอมขาย]],Table1351452010[[#This Row],[Total
คอมฯ อุปกรณ์]])+Table1351452010[[#This Row],[Total 
คอมฯค่าติดตั้ง/ค่าเชื่อมสัญญาณ]]</f>
        <v>0</v>
      </c>
      <c r="S42" s="268"/>
      <c r="T42" s="268"/>
      <c r="U42" s="269"/>
    </row>
    <row r="43" spans="1:22" s="250" customFormat="1" ht="27" hidden="1" customHeight="1">
      <c r="A43" s="275"/>
      <c r="B43" s="288"/>
      <c r="C43" s="20"/>
      <c r="D43" s="41"/>
      <c r="E43" s="41"/>
      <c r="F43" s="41"/>
      <c r="G43" s="44"/>
      <c r="H43" s="254"/>
      <c r="I43" s="542"/>
      <c r="J43" s="150"/>
      <c r="K43" s="151"/>
      <c r="L43" s="255"/>
      <c r="M43" s="256"/>
      <c r="N43" s="542"/>
      <c r="O43" s="50"/>
      <c r="P43" s="50"/>
      <c r="Q43" s="542"/>
      <c r="R43" s="257" t="s">
        <v>108</v>
      </c>
      <c r="S43" s="132"/>
      <c r="T43" s="271"/>
      <c r="U43" s="272"/>
      <c r="V43" s="3"/>
    </row>
    <row r="44" spans="1:22" s="250" customFormat="1" ht="27" hidden="1" customHeight="1" thickBot="1">
      <c r="A44" s="276"/>
      <c r="B44" s="289"/>
      <c r="C44" s="284"/>
      <c r="D44" s="285"/>
      <c r="E44" s="39"/>
      <c r="F44" s="41"/>
      <c r="G44" s="44"/>
      <c r="H44" s="262"/>
      <c r="I44" s="543"/>
      <c r="J44" s="41"/>
      <c r="K44" s="41"/>
      <c r="L44" s="256"/>
      <c r="M44" s="256"/>
      <c r="N44" s="543"/>
      <c r="O44" s="51"/>
      <c r="P44" s="51"/>
      <c r="Q44" s="543"/>
      <c r="R44" s="263"/>
      <c r="S44" s="132"/>
      <c r="T44" s="271"/>
      <c r="U44" s="264"/>
      <c r="V44" s="3"/>
    </row>
    <row r="45" spans="1:22" s="3" customFormat="1" ht="27.45" hidden="1" customHeight="1">
      <c r="A45" s="274">
        <v>11</v>
      </c>
      <c r="B45" s="290"/>
      <c r="C45" s="19"/>
      <c r="D45" s="32"/>
      <c r="E45" s="32"/>
      <c r="F45" s="278"/>
      <c r="G45" s="394"/>
      <c r="H45" s="245"/>
      <c r="I45" s="541">
        <f>Table1351452010[[#This Row],[ค่าบริการรายเดือนตาม Package]]+Table1351452010[[#This Row],[รายการเบิก
คอมขายเพิ่มเติม
(เป้าตามกำหนด)
100-200%]]</f>
        <v>0</v>
      </c>
      <c r="J45" s="40"/>
      <c r="K45" s="278"/>
      <c r="L45" s="279">
        <f>IF(Table1351452010[[#This Row],[ค่าขายอุปกรณ์]]&gt;Table1351452010[[#This Row],[ต้นทุนค่าขายอุปกรณ์]],Table1351452010[[#This Row],[ต้นทุนค่าขายอุปกรณ์]]*$L$4,Table1351452010[[#This Row],[ค่าขายอุปกรณ์]]*$L$4)</f>
        <v>0</v>
      </c>
      <c r="M45" s="280">
        <f>IF(Table1351452010[[#This Row],[ค่าขายอุปกรณ์]]&gt;Table1351452010[[#This Row],[ต้นทุนค่าขายอุปกรณ์]],SUM(Table1351452010[[#This Row],[ค่าขายอุปกรณ์]]-Table1351452010[[#This Row],[ต้นทุนค่าขายอุปกรณ์]])*$M$4,0)</f>
        <v>0</v>
      </c>
      <c r="N45" s="541">
        <f>SUM(Table1351452010[[#This Row],[คอมฯอุปกรณ์
 5%]:[คอมฯ อุปกรณ์
25%]])</f>
        <v>0</v>
      </c>
      <c r="O45" s="267"/>
      <c r="P45" s="267"/>
      <c r="Q45" s="545">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45" s="248">
        <f>SUM(Table1351452010[[#This Row],[Total
รายการเบิก
คอมขาย]],Table1351452010[[#This Row],[Total
คอมฯ อุปกรณ์]])+Table1351452010[[#This Row],[Total 
คอมฯค่าติดตั้ง/ค่าเชื่อมสัญญาณ]]</f>
        <v>0</v>
      </c>
      <c r="S45" s="268"/>
      <c r="T45" s="268"/>
      <c r="U45" s="269"/>
    </row>
    <row r="46" spans="1:22" s="250" customFormat="1" ht="27" hidden="1" customHeight="1">
      <c r="A46" s="275"/>
      <c r="B46" s="288"/>
      <c r="C46" s="20"/>
      <c r="D46" s="41"/>
      <c r="E46" s="41"/>
      <c r="F46" s="41"/>
      <c r="G46" s="44"/>
      <c r="H46" s="254"/>
      <c r="I46" s="542"/>
      <c r="J46" s="150"/>
      <c r="K46" s="151"/>
      <c r="L46" s="255"/>
      <c r="M46" s="256"/>
      <c r="N46" s="542"/>
      <c r="O46" s="50"/>
      <c r="P46" s="50"/>
      <c r="Q46" s="542"/>
      <c r="R46" s="257" t="s">
        <v>108</v>
      </c>
      <c r="S46" s="132"/>
      <c r="T46" s="271"/>
      <c r="U46" s="272"/>
      <c r="V46" s="3"/>
    </row>
    <row r="47" spans="1:22" s="250" customFormat="1" ht="27" hidden="1" customHeight="1" thickBot="1">
      <c r="A47" s="276"/>
      <c r="B47" s="289"/>
      <c r="C47" s="284"/>
      <c r="D47" s="285"/>
      <c r="E47" s="39"/>
      <c r="F47" s="41"/>
      <c r="G47" s="44"/>
      <c r="H47" s="262"/>
      <c r="I47" s="543"/>
      <c r="J47" s="41"/>
      <c r="K47" s="41"/>
      <c r="L47" s="256"/>
      <c r="M47" s="256"/>
      <c r="N47" s="543"/>
      <c r="O47" s="51"/>
      <c r="P47" s="51"/>
      <c r="Q47" s="543"/>
      <c r="R47" s="263"/>
      <c r="S47" s="132"/>
      <c r="T47" s="271"/>
      <c r="U47" s="264"/>
      <c r="V47" s="3"/>
    </row>
    <row r="48" spans="1:22" s="3" customFormat="1" ht="27.45" hidden="1" customHeight="1">
      <c r="A48" s="274">
        <v>12</v>
      </c>
      <c r="B48" s="290"/>
      <c r="C48" s="19"/>
      <c r="D48" s="32"/>
      <c r="E48" s="32"/>
      <c r="F48" s="278"/>
      <c r="G48" s="52"/>
      <c r="H48" s="245"/>
      <c r="I48" s="541">
        <f>Table1351452010[[#This Row],[ค่าบริการรายเดือนตาม Package]]+Table1351452010[[#This Row],[รายการเบิก
คอมขายเพิ่มเติม
(เป้าตามกำหนด)
100-200%]]</f>
        <v>0</v>
      </c>
      <c r="J48" s="40"/>
      <c r="K48" s="278"/>
      <c r="L48" s="279">
        <f>IF(Table1351452010[[#This Row],[ค่าขายอุปกรณ์]]&gt;Table1351452010[[#This Row],[ต้นทุนค่าขายอุปกรณ์]],Table1351452010[[#This Row],[ต้นทุนค่าขายอุปกรณ์]]*$L$4,Table1351452010[[#This Row],[ค่าขายอุปกรณ์]]*$L$4)</f>
        <v>0</v>
      </c>
      <c r="M48" s="280">
        <f>IF(Table1351452010[[#This Row],[ค่าขายอุปกรณ์]]&gt;Table1351452010[[#This Row],[ต้นทุนค่าขายอุปกรณ์]],SUM(Table1351452010[[#This Row],[ค่าขายอุปกรณ์]]-Table1351452010[[#This Row],[ต้นทุนค่าขายอุปกรณ์]])*$M$4,0)</f>
        <v>0</v>
      </c>
      <c r="N48" s="541">
        <f>SUM(Table1351452010[[#This Row],[คอมฯอุปกรณ์
 5%]:[คอมฯ อุปกรณ์
25%]])</f>
        <v>0</v>
      </c>
      <c r="O48" s="267"/>
      <c r="P48" s="267"/>
      <c r="Q48" s="545">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48" s="248">
        <f>SUM(Table1351452010[[#This Row],[Total
รายการเบิก
คอมขาย]],Table1351452010[[#This Row],[Total
คอมฯ อุปกรณ์]])+Table1351452010[[#This Row],[Total 
คอมฯค่าติดตั้ง/ค่าเชื่อมสัญญาณ]]</f>
        <v>0</v>
      </c>
      <c r="S48" s="268"/>
      <c r="T48" s="268"/>
      <c r="U48" s="269"/>
    </row>
    <row r="49" spans="1:22" s="250" customFormat="1" ht="27" hidden="1" customHeight="1">
      <c r="A49" s="275"/>
      <c r="B49" s="288"/>
      <c r="C49" s="20"/>
      <c r="D49" s="41"/>
      <c r="E49" s="41"/>
      <c r="F49" s="41"/>
      <c r="G49" s="44"/>
      <c r="H49" s="254"/>
      <c r="I49" s="542"/>
      <c r="J49" s="150"/>
      <c r="K49" s="151"/>
      <c r="L49" s="255"/>
      <c r="M49" s="256"/>
      <c r="N49" s="542"/>
      <c r="O49" s="50"/>
      <c r="P49" s="50"/>
      <c r="Q49" s="542"/>
      <c r="R49" s="257" t="s">
        <v>108</v>
      </c>
      <c r="S49" s="132"/>
      <c r="T49" s="271"/>
      <c r="U49" s="272"/>
      <c r="V49" s="3"/>
    </row>
    <row r="50" spans="1:22" s="250" customFormat="1" ht="27" hidden="1" customHeight="1" thickBot="1">
      <c r="A50" s="276"/>
      <c r="B50" s="289"/>
      <c r="C50" s="284"/>
      <c r="D50" s="285"/>
      <c r="E50" s="39"/>
      <c r="F50" s="41"/>
      <c r="G50" s="44"/>
      <c r="H50" s="262"/>
      <c r="I50" s="543"/>
      <c r="J50" s="41"/>
      <c r="K50" s="41"/>
      <c r="L50" s="256"/>
      <c r="M50" s="256"/>
      <c r="N50" s="543"/>
      <c r="O50" s="51"/>
      <c r="P50" s="51"/>
      <c r="Q50" s="543"/>
      <c r="R50" s="263"/>
      <c r="S50" s="132"/>
      <c r="T50" s="271"/>
      <c r="U50" s="264"/>
      <c r="V50" s="3"/>
    </row>
    <row r="51" spans="1:22" s="3" customFormat="1" ht="27.45" hidden="1" customHeight="1">
      <c r="A51" s="274">
        <v>13</v>
      </c>
      <c r="B51" s="290"/>
      <c r="C51" s="19"/>
      <c r="D51" s="32"/>
      <c r="E51" s="32"/>
      <c r="F51" s="278"/>
      <c r="G51" s="394"/>
      <c r="H51" s="245"/>
      <c r="I51" s="541">
        <f>Table1351452010[[#This Row],[ค่าบริการรายเดือนตาม Package]]+Table1351452010[[#This Row],[รายการเบิก
คอมขายเพิ่มเติม
(เป้าตามกำหนด)
100-200%]]</f>
        <v>0</v>
      </c>
      <c r="J51" s="40"/>
      <c r="K51" s="278"/>
      <c r="L51" s="279">
        <f>IF(Table1351452010[[#This Row],[ค่าขายอุปกรณ์]]&gt;Table1351452010[[#This Row],[ต้นทุนค่าขายอุปกรณ์]],Table1351452010[[#This Row],[ต้นทุนค่าขายอุปกรณ์]]*$L$4,Table1351452010[[#This Row],[ค่าขายอุปกรณ์]]*$L$4)</f>
        <v>0</v>
      </c>
      <c r="M51" s="280">
        <f>IF(Table1351452010[[#This Row],[ค่าขายอุปกรณ์]]&gt;Table1351452010[[#This Row],[ต้นทุนค่าขายอุปกรณ์]],SUM(Table1351452010[[#This Row],[ค่าขายอุปกรณ์]]-Table1351452010[[#This Row],[ต้นทุนค่าขายอุปกรณ์]])*$M$4,0)</f>
        <v>0</v>
      </c>
      <c r="N51" s="541">
        <f>SUM(Table1351452010[[#This Row],[คอมฯอุปกรณ์
 5%]:[คอมฯ อุปกรณ์
25%]])</f>
        <v>0</v>
      </c>
      <c r="O51" s="267"/>
      <c r="P51" s="267"/>
      <c r="Q51" s="545">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51" s="248">
        <f>SUM(Table1351452010[[#This Row],[Total
รายการเบิก
คอมขาย]],Table1351452010[[#This Row],[Total
คอมฯ อุปกรณ์]])+Table1351452010[[#This Row],[Total 
คอมฯค่าติดตั้ง/ค่าเชื่อมสัญญาณ]]</f>
        <v>0</v>
      </c>
      <c r="S51" s="268"/>
      <c r="T51" s="268"/>
      <c r="U51" s="269"/>
    </row>
    <row r="52" spans="1:22" s="250" customFormat="1" ht="27" hidden="1" customHeight="1">
      <c r="A52" s="275"/>
      <c r="B52" s="288"/>
      <c r="C52" s="20"/>
      <c r="D52" s="41"/>
      <c r="E52" s="41"/>
      <c r="F52" s="41"/>
      <c r="G52" s="44"/>
      <c r="H52" s="254"/>
      <c r="I52" s="542"/>
      <c r="J52" s="150"/>
      <c r="K52" s="151"/>
      <c r="L52" s="255"/>
      <c r="M52" s="256"/>
      <c r="N52" s="542"/>
      <c r="O52" s="50"/>
      <c r="P52" s="50"/>
      <c r="Q52" s="542"/>
      <c r="R52" s="257" t="s">
        <v>108</v>
      </c>
      <c r="S52" s="132"/>
      <c r="T52" s="271"/>
      <c r="U52" s="272"/>
      <c r="V52" s="3"/>
    </row>
    <row r="53" spans="1:22" s="250" customFormat="1" ht="27" hidden="1" customHeight="1" thickBot="1">
      <c r="A53" s="276"/>
      <c r="B53" s="289"/>
      <c r="C53" s="284"/>
      <c r="D53" s="285"/>
      <c r="E53" s="39"/>
      <c r="F53" s="41"/>
      <c r="G53" s="44"/>
      <c r="H53" s="262"/>
      <c r="I53" s="543"/>
      <c r="J53" s="41"/>
      <c r="K53" s="41"/>
      <c r="L53" s="256"/>
      <c r="M53" s="256"/>
      <c r="N53" s="543"/>
      <c r="O53" s="51"/>
      <c r="P53" s="51"/>
      <c r="Q53" s="543"/>
      <c r="R53" s="263"/>
      <c r="S53" s="132"/>
      <c r="T53" s="271"/>
      <c r="U53" s="264"/>
      <c r="V53" s="3"/>
    </row>
    <row r="54" spans="1:22" s="3" customFormat="1" ht="27.45" hidden="1" customHeight="1">
      <c r="A54" s="274">
        <v>14</v>
      </c>
      <c r="B54" s="290"/>
      <c r="C54" s="19"/>
      <c r="D54" s="32"/>
      <c r="E54" s="32"/>
      <c r="F54" s="278"/>
      <c r="G54" s="394"/>
      <c r="H54" s="245"/>
      <c r="I54" s="541">
        <f>Table1351452010[[#This Row],[ค่าบริการรายเดือนตาม Package]]+Table1351452010[[#This Row],[รายการเบิก
คอมขายเพิ่มเติม
(เป้าตามกำหนด)
100-200%]]</f>
        <v>0</v>
      </c>
      <c r="J54" s="40"/>
      <c r="K54" s="278"/>
      <c r="L54" s="279">
        <f>IF(Table1351452010[[#This Row],[ค่าขายอุปกรณ์]]&gt;Table1351452010[[#This Row],[ต้นทุนค่าขายอุปกรณ์]],Table1351452010[[#This Row],[ต้นทุนค่าขายอุปกรณ์]]*$L$4,Table1351452010[[#This Row],[ค่าขายอุปกรณ์]]*$L$4)</f>
        <v>0</v>
      </c>
      <c r="M54" s="280">
        <f>IF(Table1351452010[[#This Row],[ค่าขายอุปกรณ์]]&gt;Table1351452010[[#This Row],[ต้นทุนค่าขายอุปกรณ์]],SUM(Table1351452010[[#This Row],[ค่าขายอุปกรณ์]]-Table1351452010[[#This Row],[ต้นทุนค่าขายอุปกรณ์]])*$M$4,0)</f>
        <v>0</v>
      </c>
      <c r="N54" s="541">
        <f>SUM(Table1351452010[[#This Row],[คอมฯอุปกรณ์
 5%]:[คอมฯ อุปกรณ์
25%]])</f>
        <v>0</v>
      </c>
      <c r="O54" s="267"/>
      <c r="P54" s="267"/>
      <c r="Q54" s="545">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54" s="248">
        <f>SUM(Table1351452010[[#This Row],[Total
รายการเบิก
คอมขาย]],Table1351452010[[#This Row],[Total
คอมฯ อุปกรณ์]])+Table1351452010[[#This Row],[Total 
คอมฯค่าติดตั้ง/ค่าเชื่อมสัญญาณ]]</f>
        <v>0</v>
      </c>
      <c r="S54" s="268"/>
      <c r="T54" s="268"/>
      <c r="U54" s="269"/>
    </row>
    <row r="55" spans="1:22" s="250" customFormat="1" ht="27" hidden="1" customHeight="1">
      <c r="A55" s="275"/>
      <c r="B55" s="288"/>
      <c r="C55" s="20"/>
      <c r="D55" s="41"/>
      <c r="E55" s="41"/>
      <c r="F55" s="41"/>
      <c r="G55" s="44"/>
      <c r="H55" s="254"/>
      <c r="I55" s="542"/>
      <c r="J55" s="150"/>
      <c r="K55" s="151"/>
      <c r="L55" s="255"/>
      <c r="M55" s="256"/>
      <c r="N55" s="542"/>
      <c r="O55" s="50"/>
      <c r="P55" s="50"/>
      <c r="Q55" s="542"/>
      <c r="R55" s="257" t="s">
        <v>108</v>
      </c>
      <c r="S55" s="132"/>
      <c r="T55" s="271"/>
      <c r="U55" s="272"/>
      <c r="V55" s="3"/>
    </row>
    <row r="56" spans="1:22" s="250" customFormat="1" ht="27" hidden="1" customHeight="1" thickBot="1">
      <c r="A56" s="276"/>
      <c r="B56" s="289"/>
      <c r="C56" s="284"/>
      <c r="D56" s="285"/>
      <c r="E56" s="39"/>
      <c r="F56" s="41"/>
      <c r="G56" s="44"/>
      <c r="H56" s="262"/>
      <c r="I56" s="543"/>
      <c r="J56" s="41"/>
      <c r="K56" s="41"/>
      <c r="L56" s="256"/>
      <c r="M56" s="256"/>
      <c r="N56" s="543"/>
      <c r="O56" s="51"/>
      <c r="P56" s="51"/>
      <c r="Q56" s="543"/>
      <c r="R56" s="263"/>
      <c r="S56" s="132"/>
      <c r="T56" s="271"/>
      <c r="U56" s="264"/>
      <c r="V56" s="3"/>
    </row>
    <row r="57" spans="1:22" s="3" customFormat="1" ht="27.45" hidden="1" customHeight="1">
      <c r="A57" s="274">
        <v>15</v>
      </c>
      <c r="B57" s="290"/>
      <c r="C57" s="19"/>
      <c r="D57" s="32"/>
      <c r="E57" s="32"/>
      <c r="F57" s="278"/>
      <c r="G57" s="394"/>
      <c r="H57" s="245"/>
      <c r="I57" s="541">
        <f>Table1351452010[[#This Row],[ค่าบริการรายเดือนตาม Package]]+Table1351452010[[#This Row],[รายการเบิก
คอมขายเพิ่มเติม
(เป้าตามกำหนด)
100-200%]]</f>
        <v>0</v>
      </c>
      <c r="J57" s="40"/>
      <c r="K57" s="278"/>
      <c r="L57" s="279">
        <f>IF(Table1351452010[[#This Row],[ค่าขายอุปกรณ์]]&gt;Table1351452010[[#This Row],[ต้นทุนค่าขายอุปกรณ์]],Table1351452010[[#This Row],[ต้นทุนค่าขายอุปกรณ์]]*$L$4,Table1351452010[[#This Row],[ค่าขายอุปกรณ์]]*$L$4)</f>
        <v>0</v>
      </c>
      <c r="M57" s="280">
        <f>IF(Table1351452010[[#This Row],[ค่าขายอุปกรณ์]]&gt;Table1351452010[[#This Row],[ต้นทุนค่าขายอุปกรณ์]],SUM(Table1351452010[[#This Row],[ค่าขายอุปกรณ์]]-Table1351452010[[#This Row],[ต้นทุนค่าขายอุปกรณ์]])*$M$4,0)</f>
        <v>0</v>
      </c>
      <c r="N57" s="541">
        <f>SUM(Table1351452010[[#This Row],[คอมฯอุปกรณ์
 5%]:[คอมฯ อุปกรณ์
25%]])</f>
        <v>0</v>
      </c>
      <c r="O57" s="267"/>
      <c r="P57" s="267"/>
      <c r="Q57" s="545">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57" s="248">
        <f>SUM(Table1351452010[[#This Row],[Total
รายการเบิก
คอมขาย]],Table1351452010[[#This Row],[Total
คอมฯ อุปกรณ์]])+Table1351452010[[#This Row],[Total 
คอมฯค่าติดตั้ง/ค่าเชื่อมสัญญาณ]]</f>
        <v>0</v>
      </c>
      <c r="S57" s="268"/>
      <c r="T57" s="268"/>
      <c r="U57" s="269"/>
    </row>
    <row r="58" spans="1:22" s="250" customFormat="1" ht="27" hidden="1" customHeight="1">
      <c r="A58" s="275"/>
      <c r="B58" s="288"/>
      <c r="C58" s="20"/>
      <c r="D58" s="41"/>
      <c r="E58" s="41"/>
      <c r="F58" s="41"/>
      <c r="G58" s="44"/>
      <c r="H58" s="254"/>
      <c r="I58" s="542"/>
      <c r="J58" s="150"/>
      <c r="K58" s="151"/>
      <c r="L58" s="255"/>
      <c r="M58" s="256"/>
      <c r="N58" s="542"/>
      <c r="O58" s="50"/>
      <c r="P58" s="50"/>
      <c r="Q58" s="542"/>
      <c r="R58" s="257" t="s">
        <v>108</v>
      </c>
      <c r="S58" s="132"/>
      <c r="T58" s="271"/>
      <c r="U58" s="272"/>
      <c r="V58" s="3"/>
    </row>
    <row r="59" spans="1:22" s="250" customFormat="1" ht="27" hidden="1" customHeight="1" thickBot="1">
      <c r="A59" s="276"/>
      <c r="B59" s="289"/>
      <c r="C59" s="284"/>
      <c r="D59" s="285"/>
      <c r="E59" s="39"/>
      <c r="F59" s="41"/>
      <c r="G59" s="44"/>
      <c r="H59" s="262"/>
      <c r="I59" s="543"/>
      <c r="J59" s="41"/>
      <c r="K59" s="41"/>
      <c r="L59" s="256"/>
      <c r="M59" s="256"/>
      <c r="N59" s="543"/>
      <c r="O59" s="51"/>
      <c r="P59" s="51"/>
      <c r="Q59" s="543"/>
      <c r="R59" s="263"/>
      <c r="S59" s="132"/>
      <c r="T59" s="271"/>
      <c r="U59" s="264"/>
      <c r="V59" s="3"/>
    </row>
    <row r="60" spans="1:22" s="3" customFormat="1" ht="27.45" hidden="1" customHeight="1">
      <c r="A60" s="274">
        <v>16</v>
      </c>
      <c r="B60" s="290"/>
      <c r="C60" s="19"/>
      <c r="D60" s="32"/>
      <c r="E60" s="32"/>
      <c r="F60" s="278"/>
      <c r="G60" s="394"/>
      <c r="H60" s="245"/>
      <c r="I60" s="541">
        <f>Table1351452010[[#This Row],[ค่าบริการรายเดือนตาม Package]]+Table1351452010[[#This Row],[รายการเบิก
คอมขายเพิ่มเติม
(เป้าตามกำหนด)
100-200%]]</f>
        <v>0</v>
      </c>
      <c r="J60" s="40"/>
      <c r="K60" s="278"/>
      <c r="L60" s="279">
        <f>IF(Table1351452010[[#This Row],[ค่าขายอุปกรณ์]]&gt;Table1351452010[[#This Row],[ต้นทุนค่าขายอุปกรณ์]],Table1351452010[[#This Row],[ต้นทุนค่าขายอุปกรณ์]]*$L$4,Table1351452010[[#This Row],[ค่าขายอุปกรณ์]]*$L$4)</f>
        <v>0</v>
      </c>
      <c r="M60" s="280">
        <f>IF(Table1351452010[[#This Row],[ค่าขายอุปกรณ์]]&gt;Table1351452010[[#This Row],[ต้นทุนค่าขายอุปกรณ์]],SUM(Table1351452010[[#This Row],[ค่าขายอุปกรณ์]]-Table1351452010[[#This Row],[ต้นทุนค่าขายอุปกรณ์]])*$M$4,0)</f>
        <v>0</v>
      </c>
      <c r="N60" s="541">
        <f>SUM(Table1351452010[[#This Row],[คอมฯอุปกรณ์
 5%]:[คอมฯ อุปกรณ์
25%]])</f>
        <v>0</v>
      </c>
      <c r="O60" s="267"/>
      <c r="P60" s="267"/>
      <c r="Q60" s="545">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60" s="248">
        <f>SUM(Table1351452010[[#This Row],[Total
รายการเบิก
คอมขาย]],Table1351452010[[#This Row],[Total
คอมฯ อุปกรณ์]])+Table1351452010[[#This Row],[Total 
คอมฯค่าติดตั้ง/ค่าเชื่อมสัญญาณ]]</f>
        <v>0</v>
      </c>
      <c r="S60" s="268"/>
      <c r="T60" s="268"/>
      <c r="U60" s="269"/>
    </row>
    <row r="61" spans="1:22" s="250" customFormat="1" ht="27" hidden="1" customHeight="1">
      <c r="A61" s="275"/>
      <c r="B61" s="288"/>
      <c r="C61" s="20"/>
      <c r="D61" s="41"/>
      <c r="E61" s="41"/>
      <c r="F61" s="41"/>
      <c r="G61" s="44"/>
      <c r="H61" s="254"/>
      <c r="I61" s="542"/>
      <c r="J61" s="150"/>
      <c r="K61" s="151"/>
      <c r="L61" s="255"/>
      <c r="M61" s="256"/>
      <c r="N61" s="542"/>
      <c r="O61" s="50"/>
      <c r="P61" s="50"/>
      <c r="Q61" s="542"/>
      <c r="R61" s="257" t="s">
        <v>108</v>
      </c>
      <c r="S61" s="132"/>
      <c r="T61" s="271"/>
      <c r="U61" s="272"/>
      <c r="V61" s="3"/>
    </row>
    <row r="62" spans="1:22" s="250" customFormat="1" ht="27" hidden="1" customHeight="1" thickBot="1">
      <c r="A62" s="276"/>
      <c r="B62" s="289"/>
      <c r="C62" s="284"/>
      <c r="D62" s="285"/>
      <c r="E62" s="39"/>
      <c r="F62" s="41"/>
      <c r="G62" s="44"/>
      <c r="H62" s="262"/>
      <c r="I62" s="543"/>
      <c r="J62" s="41"/>
      <c r="K62" s="41"/>
      <c r="L62" s="256"/>
      <c r="M62" s="256"/>
      <c r="N62" s="543"/>
      <c r="O62" s="51"/>
      <c r="P62" s="51"/>
      <c r="Q62" s="543"/>
      <c r="R62" s="263"/>
      <c r="S62" s="132"/>
      <c r="T62" s="271"/>
      <c r="U62" s="264"/>
      <c r="V62" s="3"/>
    </row>
    <row r="63" spans="1:22" s="3" customFormat="1" ht="27.45" hidden="1" customHeight="1">
      <c r="A63" s="274">
        <v>17</v>
      </c>
      <c r="B63" s="290"/>
      <c r="C63" s="19"/>
      <c r="D63" s="32"/>
      <c r="E63" s="32"/>
      <c r="F63" s="278"/>
      <c r="G63" s="394"/>
      <c r="H63" s="245"/>
      <c r="I63" s="541">
        <f>Table1351452010[[#This Row],[ค่าบริการรายเดือนตาม Package]]+Table1351452010[[#This Row],[รายการเบิก
คอมขายเพิ่มเติม
(เป้าตามกำหนด)
100-200%]]</f>
        <v>0</v>
      </c>
      <c r="J63" s="40"/>
      <c r="K63" s="278"/>
      <c r="L63" s="279">
        <f>IF(Table1351452010[[#This Row],[ค่าขายอุปกรณ์]]&gt;Table1351452010[[#This Row],[ต้นทุนค่าขายอุปกรณ์]],Table1351452010[[#This Row],[ต้นทุนค่าขายอุปกรณ์]]*$L$4,Table1351452010[[#This Row],[ค่าขายอุปกรณ์]]*$L$4)</f>
        <v>0</v>
      </c>
      <c r="M63" s="280">
        <f>IF(Table1351452010[[#This Row],[ค่าขายอุปกรณ์]]&gt;Table1351452010[[#This Row],[ต้นทุนค่าขายอุปกรณ์]],SUM(Table1351452010[[#This Row],[ค่าขายอุปกรณ์]]-Table1351452010[[#This Row],[ต้นทุนค่าขายอุปกรณ์]])*$M$4,0)</f>
        <v>0</v>
      </c>
      <c r="N63" s="541">
        <f>SUM(Table1351452010[[#This Row],[คอมฯอุปกรณ์
 5%]:[คอมฯ อุปกรณ์
25%]])</f>
        <v>0</v>
      </c>
      <c r="O63" s="267"/>
      <c r="P63" s="267"/>
      <c r="Q63" s="545">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63" s="248">
        <f>SUM(Table1351452010[[#This Row],[Total
รายการเบิก
คอมขาย]],Table1351452010[[#This Row],[Total
คอมฯ อุปกรณ์]])+Table1351452010[[#This Row],[Total 
คอมฯค่าติดตั้ง/ค่าเชื่อมสัญญาณ]]</f>
        <v>0</v>
      </c>
      <c r="S63" s="268"/>
      <c r="T63" s="268"/>
      <c r="U63" s="269"/>
    </row>
    <row r="64" spans="1:22" s="250" customFormat="1" ht="27" hidden="1" customHeight="1">
      <c r="A64" s="275"/>
      <c r="B64" s="288"/>
      <c r="C64" s="20"/>
      <c r="D64" s="41"/>
      <c r="E64" s="41"/>
      <c r="F64" s="41"/>
      <c r="G64" s="44"/>
      <c r="H64" s="254"/>
      <c r="I64" s="542"/>
      <c r="J64" s="150"/>
      <c r="K64" s="151"/>
      <c r="L64" s="255"/>
      <c r="M64" s="256"/>
      <c r="N64" s="542"/>
      <c r="O64" s="50"/>
      <c r="P64" s="50"/>
      <c r="Q64" s="542"/>
      <c r="R64" s="257" t="s">
        <v>108</v>
      </c>
      <c r="S64" s="395"/>
      <c r="T64" s="396"/>
      <c r="U64" s="272"/>
      <c r="V64" s="3"/>
    </row>
    <row r="65" spans="1:22" s="250" customFormat="1" ht="27" hidden="1" customHeight="1" thickBot="1">
      <c r="A65" s="276"/>
      <c r="B65" s="289"/>
      <c r="C65" s="284"/>
      <c r="D65" s="285"/>
      <c r="E65" s="39"/>
      <c r="F65" s="41"/>
      <c r="G65" s="44"/>
      <c r="H65" s="262"/>
      <c r="I65" s="543"/>
      <c r="J65" s="41"/>
      <c r="K65" s="41"/>
      <c r="L65" s="256"/>
      <c r="M65" s="256"/>
      <c r="N65" s="543"/>
      <c r="O65" s="51"/>
      <c r="P65" s="51"/>
      <c r="Q65" s="543"/>
      <c r="R65" s="263"/>
      <c r="S65" s="132"/>
      <c r="T65" s="271"/>
      <c r="U65" s="264"/>
      <c r="V65" s="3"/>
    </row>
    <row r="66" spans="1:22" s="3" customFormat="1" ht="27.45" hidden="1" customHeight="1">
      <c r="A66" s="274">
        <v>18</v>
      </c>
      <c r="B66" s="290"/>
      <c r="C66" s="19"/>
      <c r="D66" s="32"/>
      <c r="E66" s="32"/>
      <c r="F66" s="278"/>
      <c r="G66" s="394"/>
      <c r="H66" s="245"/>
      <c r="I66" s="541">
        <f>Table1351452010[[#This Row],[ค่าบริการรายเดือนตาม Package]]+Table1351452010[[#This Row],[รายการเบิก
คอมขายเพิ่มเติม
(เป้าตามกำหนด)
100-200%]]</f>
        <v>0</v>
      </c>
      <c r="J66" s="40"/>
      <c r="K66" s="278"/>
      <c r="L66" s="279">
        <f>IF(Table1351452010[[#This Row],[ค่าขายอุปกรณ์]]&gt;Table1351452010[[#This Row],[ต้นทุนค่าขายอุปกรณ์]],Table1351452010[[#This Row],[ต้นทุนค่าขายอุปกรณ์]]*$L$4,Table1351452010[[#This Row],[ค่าขายอุปกรณ์]]*$L$4)</f>
        <v>0</v>
      </c>
      <c r="M66" s="280">
        <f>IF(Table1351452010[[#This Row],[ค่าขายอุปกรณ์]]&gt;Table1351452010[[#This Row],[ต้นทุนค่าขายอุปกรณ์]],SUM(Table1351452010[[#This Row],[ค่าขายอุปกรณ์]]-Table1351452010[[#This Row],[ต้นทุนค่าขายอุปกรณ์]])*$M$4,0)</f>
        <v>0</v>
      </c>
      <c r="N66" s="541">
        <f>SUM(Table1351452010[[#This Row],[คอมฯอุปกรณ์
 5%]:[คอมฯ อุปกรณ์
25%]])</f>
        <v>0</v>
      </c>
      <c r="O66" s="267"/>
      <c r="P66" s="267"/>
      <c r="Q66" s="545">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66" s="248">
        <f>SUM(Table1351452010[[#This Row],[Total
รายการเบิก
คอมขาย]],Table1351452010[[#This Row],[Total
คอมฯ อุปกรณ์]])+Table1351452010[[#This Row],[Total 
คอมฯค่าติดตั้ง/ค่าเชื่อมสัญญาณ]]</f>
        <v>0</v>
      </c>
      <c r="S66" s="268"/>
      <c r="T66" s="268"/>
      <c r="U66" s="269"/>
    </row>
    <row r="67" spans="1:22" s="250" customFormat="1" ht="27" hidden="1" customHeight="1">
      <c r="A67" s="275"/>
      <c r="B67" s="288"/>
      <c r="C67" s="20"/>
      <c r="D67" s="41"/>
      <c r="E67" s="41"/>
      <c r="F67" s="41"/>
      <c r="G67" s="44"/>
      <c r="H67" s="254"/>
      <c r="I67" s="542"/>
      <c r="J67" s="150"/>
      <c r="K67" s="151"/>
      <c r="L67" s="255"/>
      <c r="M67" s="256"/>
      <c r="N67" s="542"/>
      <c r="O67" s="50"/>
      <c r="P67" s="50"/>
      <c r="Q67" s="542"/>
      <c r="R67" s="257" t="s">
        <v>108</v>
      </c>
      <c r="S67" s="132"/>
      <c r="T67" s="271"/>
      <c r="U67" s="272"/>
      <c r="V67" s="3"/>
    </row>
    <row r="68" spans="1:22" s="250" customFormat="1" ht="27" hidden="1" customHeight="1" thickBot="1">
      <c r="A68" s="276"/>
      <c r="B68" s="289"/>
      <c r="C68" s="284"/>
      <c r="D68" s="285"/>
      <c r="E68" s="39"/>
      <c r="F68" s="41"/>
      <c r="G68" s="44"/>
      <c r="H68" s="262"/>
      <c r="I68" s="543"/>
      <c r="J68" s="41"/>
      <c r="K68" s="41"/>
      <c r="L68" s="256"/>
      <c r="M68" s="256"/>
      <c r="N68" s="543"/>
      <c r="O68" s="51"/>
      <c r="P68" s="51"/>
      <c r="Q68" s="543"/>
      <c r="R68" s="263"/>
      <c r="S68" s="132"/>
      <c r="T68" s="271"/>
      <c r="U68" s="264"/>
      <c r="V68" s="3"/>
    </row>
    <row r="69" spans="1:22" s="3" customFormat="1" ht="27.45" hidden="1" customHeight="1">
      <c r="A69" s="274">
        <v>19</v>
      </c>
      <c r="B69" s="290"/>
      <c r="C69" s="19"/>
      <c r="D69" s="32"/>
      <c r="E69" s="32"/>
      <c r="F69" s="278"/>
      <c r="G69" s="52"/>
      <c r="H69" s="245"/>
      <c r="I69" s="541">
        <f>Table1351452010[[#This Row],[ค่าบริการรายเดือนตาม Package]]+Table1351452010[[#This Row],[รายการเบิก
คอมขายเพิ่มเติม
(เป้าตามกำหนด)
100-200%]]</f>
        <v>0</v>
      </c>
      <c r="J69" s="40"/>
      <c r="K69" s="278"/>
      <c r="L69" s="279">
        <f>IF(Table1351452010[[#This Row],[ค่าขายอุปกรณ์]]&gt;Table1351452010[[#This Row],[ต้นทุนค่าขายอุปกรณ์]],Table1351452010[[#This Row],[ต้นทุนค่าขายอุปกรณ์]]*$L$4,Table1351452010[[#This Row],[ค่าขายอุปกรณ์]]*$L$4)</f>
        <v>0</v>
      </c>
      <c r="M69" s="280">
        <f>IF(Table1351452010[[#This Row],[ค่าขายอุปกรณ์]]&gt;Table1351452010[[#This Row],[ต้นทุนค่าขายอุปกรณ์]],SUM(Table1351452010[[#This Row],[ค่าขายอุปกรณ์]]-Table1351452010[[#This Row],[ต้นทุนค่าขายอุปกรณ์]])*$M$4,0)</f>
        <v>0</v>
      </c>
      <c r="N69" s="541">
        <f>SUM(Table1351452010[[#This Row],[คอมฯอุปกรณ์
 5%]:[คอมฯ อุปกรณ์
25%]])</f>
        <v>0</v>
      </c>
      <c r="O69" s="267"/>
      <c r="P69" s="267"/>
      <c r="Q69" s="545">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69" s="248">
        <f>SUM(Table1351452010[[#This Row],[Total
รายการเบิก
คอมขาย]],Table1351452010[[#This Row],[Total
คอมฯ อุปกรณ์]])+Table1351452010[[#This Row],[Total 
คอมฯค่าติดตั้ง/ค่าเชื่อมสัญญาณ]]</f>
        <v>0</v>
      </c>
      <c r="S69" s="268"/>
      <c r="T69" s="268"/>
      <c r="U69" s="269"/>
    </row>
    <row r="70" spans="1:22" s="250" customFormat="1" ht="27" hidden="1" customHeight="1">
      <c r="A70" s="275"/>
      <c r="B70" s="288"/>
      <c r="C70" s="20"/>
      <c r="D70" s="41"/>
      <c r="E70" s="41"/>
      <c r="F70" s="41"/>
      <c r="G70" s="44"/>
      <c r="H70" s="254"/>
      <c r="I70" s="542"/>
      <c r="J70" s="150"/>
      <c r="K70" s="151"/>
      <c r="L70" s="255"/>
      <c r="M70" s="256"/>
      <c r="N70" s="542"/>
      <c r="O70" s="50"/>
      <c r="P70" s="50"/>
      <c r="Q70" s="542"/>
      <c r="R70" s="257" t="s">
        <v>108</v>
      </c>
      <c r="S70" s="132"/>
      <c r="T70" s="271"/>
      <c r="U70" s="272"/>
      <c r="V70" s="3"/>
    </row>
    <row r="71" spans="1:22" s="250" customFormat="1" ht="27" hidden="1" customHeight="1" thickBot="1">
      <c r="A71" s="276"/>
      <c r="B71" s="289"/>
      <c r="C71" s="284"/>
      <c r="D71" s="285"/>
      <c r="E71" s="39"/>
      <c r="F71" s="41"/>
      <c r="G71" s="44"/>
      <c r="H71" s="262"/>
      <c r="I71" s="543"/>
      <c r="J71" s="41"/>
      <c r="K71" s="41"/>
      <c r="L71" s="256"/>
      <c r="M71" s="256"/>
      <c r="N71" s="543"/>
      <c r="O71" s="51"/>
      <c r="P71" s="51"/>
      <c r="Q71" s="543"/>
      <c r="R71" s="263"/>
      <c r="S71" s="132"/>
      <c r="T71" s="271"/>
      <c r="U71" s="264"/>
      <c r="V71" s="3"/>
    </row>
    <row r="72" spans="1:22" s="3" customFormat="1" ht="27.45" hidden="1" customHeight="1">
      <c r="A72" s="274">
        <v>20</v>
      </c>
      <c r="B72" s="290"/>
      <c r="C72" s="19"/>
      <c r="D72" s="32"/>
      <c r="E72" s="32"/>
      <c r="F72" s="278"/>
      <c r="G72" s="394"/>
      <c r="H72" s="245"/>
      <c r="I72" s="541">
        <f>Table1351452010[[#This Row],[ค่าบริการรายเดือนตาม Package]]+Table1351452010[[#This Row],[รายการเบิก
คอมขายเพิ่มเติม
(เป้าตามกำหนด)
100-200%]]</f>
        <v>0</v>
      </c>
      <c r="J72" s="40"/>
      <c r="K72" s="278"/>
      <c r="L72" s="279">
        <f>IF(Table1351452010[[#This Row],[ค่าขายอุปกรณ์]]&gt;Table1351452010[[#This Row],[ต้นทุนค่าขายอุปกรณ์]],Table1351452010[[#This Row],[ต้นทุนค่าขายอุปกรณ์]]*$L$4,Table1351452010[[#This Row],[ค่าขายอุปกรณ์]]*$L$4)</f>
        <v>0</v>
      </c>
      <c r="M72" s="280">
        <f>IF(Table1351452010[[#This Row],[ค่าขายอุปกรณ์]]&gt;Table1351452010[[#This Row],[ต้นทุนค่าขายอุปกรณ์]],SUM(Table1351452010[[#This Row],[ค่าขายอุปกรณ์]]-Table1351452010[[#This Row],[ต้นทุนค่าขายอุปกรณ์]])*$M$4,0)</f>
        <v>0</v>
      </c>
      <c r="N72" s="541">
        <f>SUM(Table1351452010[[#This Row],[คอมฯอุปกรณ์
 5%]:[คอมฯ อุปกรณ์
25%]])</f>
        <v>0</v>
      </c>
      <c r="O72" s="267"/>
      <c r="P72" s="267"/>
      <c r="Q72" s="545">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72" s="248">
        <f>SUM(Table1351452010[[#This Row],[Total
รายการเบิก
คอมขาย]],Table1351452010[[#This Row],[Total
คอมฯ อุปกรณ์]])+Table1351452010[[#This Row],[Total 
คอมฯค่าติดตั้ง/ค่าเชื่อมสัญญาณ]]</f>
        <v>0</v>
      </c>
      <c r="S72" s="268"/>
      <c r="T72" s="268"/>
      <c r="U72" s="269"/>
    </row>
    <row r="73" spans="1:22" s="250" customFormat="1" ht="27" hidden="1" customHeight="1">
      <c r="A73" s="275"/>
      <c r="B73" s="288"/>
      <c r="C73" s="20"/>
      <c r="D73" s="41"/>
      <c r="E73" s="41"/>
      <c r="F73" s="41"/>
      <c r="G73" s="44"/>
      <c r="H73" s="254"/>
      <c r="I73" s="542"/>
      <c r="J73" s="150"/>
      <c r="K73" s="151"/>
      <c r="L73" s="255"/>
      <c r="M73" s="256"/>
      <c r="N73" s="542"/>
      <c r="O73" s="50"/>
      <c r="P73" s="50"/>
      <c r="Q73" s="542"/>
      <c r="R73" s="257" t="s">
        <v>108</v>
      </c>
      <c r="S73" s="132"/>
      <c r="T73" s="271"/>
      <c r="U73" s="272"/>
      <c r="V73" s="3"/>
    </row>
    <row r="74" spans="1:22" s="250" customFormat="1" ht="27" hidden="1" customHeight="1" thickBot="1">
      <c r="A74" s="276"/>
      <c r="B74" s="289"/>
      <c r="C74" s="284"/>
      <c r="D74" s="285"/>
      <c r="E74" s="39"/>
      <c r="F74" s="41"/>
      <c r="G74" s="44"/>
      <c r="H74" s="262"/>
      <c r="I74" s="543"/>
      <c r="J74" s="41"/>
      <c r="K74" s="41"/>
      <c r="L74" s="256"/>
      <c r="M74" s="256"/>
      <c r="N74" s="543"/>
      <c r="O74" s="51"/>
      <c r="P74" s="51"/>
      <c r="Q74" s="543"/>
      <c r="R74" s="263"/>
      <c r="S74" s="132"/>
      <c r="T74" s="271"/>
      <c r="U74" s="264"/>
      <c r="V74" s="3"/>
    </row>
    <row r="75" spans="1:22" s="3" customFormat="1" ht="27.45" hidden="1" customHeight="1">
      <c r="A75" s="274">
        <v>21</v>
      </c>
      <c r="B75" s="290"/>
      <c r="C75" s="19"/>
      <c r="D75" s="32"/>
      <c r="E75" s="32"/>
      <c r="F75" s="278"/>
      <c r="G75" s="52"/>
      <c r="H75" s="245"/>
      <c r="I75" s="541">
        <f>Table1351452010[[#This Row],[ค่าบริการรายเดือนตาม Package]]+Table1351452010[[#This Row],[รายการเบิก
คอมขายเพิ่มเติม
(เป้าตามกำหนด)
100-200%]]</f>
        <v>0</v>
      </c>
      <c r="J75" s="40"/>
      <c r="K75" s="278"/>
      <c r="L75" s="279">
        <f>IF(Table1351452010[[#This Row],[ค่าขายอุปกรณ์]]&gt;Table1351452010[[#This Row],[ต้นทุนค่าขายอุปกรณ์]],Table1351452010[[#This Row],[ต้นทุนค่าขายอุปกรณ์]]*$L$4,Table1351452010[[#This Row],[ค่าขายอุปกรณ์]]*$L$4)</f>
        <v>0</v>
      </c>
      <c r="M75" s="280">
        <f>IF(Table1351452010[[#This Row],[ค่าขายอุปกรณ์]]&gt;Table1351452010[[#This Row],[ต้นทุนค่าขายอุปกรณ์]],SUM(Table1351452010[[#This Row],[ค่าขายอุปกรณ์]]-Table1351452010[[#This Row],[ต้นทุนค่าขายอุปกรณ์]])*$M$4,0)</f>
        <v>0</v>
      </c>
      <c r="N75" s="541">
        <f>SUM(Table1351452010[[#This Row],[คอมฯอุปกรณ์
 5%]:[คอมฯ อุปกรณ์
25%]])</f>
        <v>0</v>
      </c>
      <c r="O75" s="267"/>
      <c r="P75" s="267"/>
      <c r="Q75" s="545">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75" s="248">
        <f>SUM(Table1351452010[[#This Row],[Total
รายการเบิก
คอมขาย]],Table1351452010[[#This Row],[Total
คอมฯ อุปกรณ์]])+Table1351452010[[#This Row],[Total 
คอมฯค่าติดตั้ง/ค่าเชื่อมสัญญาณ]]</f>
        <v>0</v>
      </c>
      <c r="S75" s="268"/>
      <c r="T75" s="268"/>
      <c r="U75" s="269"/>
    </row>
    <row r="76" spans="1:22" s="250" customFormat="1" ht="27" hidden="1" customHeight="1">
      <c r="A76" s="275"/>
      <c r="B76" s="288"/>
      <c r="C76" s="20"/>
      <c r="D76" s="41"/>
      <c r="E76" s="41"/>
      <c r="F76" s="41"/>
      <c r="G76" s="44"/>
      <c r="H76" s="254"/>
      <c r="I76" s="542"/>
      <c r="J76" s="150"/>
      <c r="K76" s="151"/>
      <c r="L76" s="255"/>
      <c r="M76" s="256"/>
      <c r="N76" s="542"/>
      <c r="O76" s="50"/>
      <c r="P76" s="50"/>
      <c r="Q76" s="542"/>
      <c r="R76" s="257" t="s">
        <v>108</v>
      </c>
      <c r="S76" s="132"/>
      <c r="T76" s="271"/>
      <c r="U76" s="272"/>
      <c r="V76" s="3"/>
    </row>
    <row r="77" spans="1:22" s="250" customFormat="1" ht="27" hidden="1" customHeight="1" thickBot="1">
      <c r="A77" s="276"/>
      <c r="B77" s="289"/>
      <c r="C77" s="284"/>
      <c r="D77" s="285"/>
      <c r="E77" s="39"/>
      <c r="F77" s="41"/>
      <c r="G77" s="44"/>
      <c r="H77" s="262"/>
      <c r="I77" s="543"/>
      <c r="J77" s="41"/>
      <c r="K77" s="41"/>
      <c r="L77" s="256"/>
      <c r="M77" s="256"/>
      <c r="N77" s="543"/>
      <c r="O77" s="51"/>
      <c r="P77" s="51"/>
      <c r="Q77" s="543"/>
      <c r="R77" s="263"/>
      <c r="S77" s="132"/>
      <c r="T77" s="271"/>
      <c r="U77" s="264"/>
      <c r="V77" s="3"/>
    </row>
    <row r="78" spans="1:22" s="3" customFormat="1" ht="27.45" hidden="1" customHeight="1">
      <c r="A78" s="274">
        <v>22</v>
      </c>
      <c r="B78" s="290"/>
      <c r="C78" s="19"/>
      <c r="D78" s="32"/>
      <c r="E78" s="32"/>
      <c r="F78" s="278"/>
      <c r="G78" s="394"/>
      <c r="H78" s="245"/>
      <c r="I78" s="541">
        <f>Table1351452010[[#This Row],[ค่าบริการรายเดือนตาม Package]]+Table1351452010[[#This Row],[รายการเบิก
คอมขายเพิ่มเติม
(เป้าตามกำหนด)
100-200%]]</f>
        <v>0</v>
      </c>
      <c r="J78" s="40"/>
      <c r="K78" s="278"/>
      <c r="L78" s="279">
        <f>IF(Table1351452010[[#This Row],[ค่าขายอุปกรณ์]]&gt;Table1351452010[[#This Row],[ต้นทุนค่าขายอุปกรณ์]],Table1351452010[[#This Row],[ต้นทุนค่าขายอุปกรณ์]]*$L$4,Table1351452010[[#This Row],[ค่าขายอุปกรณ์]]*$L$4)</f>
        <v>0</v>
      </c>
      <c r="M78" s="280">
        <f>IF(Table1351452010[[#This Row],[ค่าขายอุปกรณ์]]&gt;Table1351452010[[#This Row],[ต้นทุนค่าขายอุปกรณ์]],SUM(Table1351452010[[#This Row],[ค่าขายอุปกรณ์]]-Table1351452010[[#This Row],[ต้นทุนค่าขายอุปกรณ์]])*$M$4,0)</f>
        <v>0</v>
      </c>
      <c r="N78" s="541">
        <f>SUM(Table1351452010[[#This Row],[คอมฯอุปกรณ์
 5%]:[คอมฯ อุปกรณ์
25%]])</f>
        <v>0</v>
      </c>
      <c r="O78" s="267"/>
      <c r="P78" s="267"/>
      <c r="Q78" s="545">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78" s="248">
        <f>SUM(Table1351452010[[#This Row],[Total
รายการเบิก
คอมขาย]],Table1351452010[[#This Row],[Total
คอมฯ อุปกรณ์]])+Table1351452010[[#This Row],[Total 
คอมฯค่าติดตั้ง/ค่าเชื่อมสัญญาณ]]</f>
        <v>0</v>
      </c>
      <c r="S78" s="268"/>
      <c r="T78" s="268"/>
      <c r="U78" s="269"/>
    </row>
    <row r="79" spans="1:22" s="250" customFormat="1" ht="27" hidden="1" customHeight="1">
      <c r="A79" s="275"/>
      <c r="B79" s="288"/>
      <c r="C79" s="20"/>
      <c r="D79" s="41"/>
      <c r="E79" s="41"/>
      <c r="F79" s="41"/>
      <c r="G79" s="44"/>
      <c r="H79" s="254"/>
      <c r="I79" s="542"/>
      <c r="J79" s="150"/>
      <c r="K79" s="151"/>
      <c r="L79" s="255"/>
      <c r="M79" s="256"/>
      <c r="N79" s="542"/>
      <c r="O79" s="50"/>
      <c r="P79" s="50"/>
      <c r="Q79" s="542"/>
      <c r="R79" s="257" t="s">
        <v>108</v>
      </c>
      <c r="S79" s="132"/>
      <c r="T79" s="271"/>
      <c r="U79" s="272"/>
      <c r="V79" s="3"/>
    </row>
    <row r="80" spans="1:22" s="250" customFormat="1" ht="27" hidden="1" customHeight="1" thickBot="1">
      <c r="A80" s="276"/>
      <c r="B80" s="289"/>
      <c r="C80" s="284"/>
      <c r="D80" s="285"/>
      <c r="E80" s="39"/>
      <c r="F80" s="41"/>
      <c r="G80" s="44"/>
      <c r="H80" s="262"/>
      <c r="I80" s="543"/>
      <c r="J80" s="41"/>
      <c r="K80" s="41"/>
      <c r="L80" s="256"/>
      <c r="M80" s="256"/>
      <c r="N80" s="543"/>
      <c r="O80" s="51"/>
      <c r="P80" s="51"/>
      <c r="Q80" s="543"/>
      <c r="R80" s="263"/>
      <c r="S80" s="132"/>
      <c r="T80" s="271"/>
      <c r="U80" s="264"/>
      <c r="V80" s="3"/>
    </row>
    <row r="81" spans="1:23" s="3" customFormat="1" ht="27.45" hidden="1" customHeight="1">
      <c r="A81" s="274">
        <v>23</v>
      </c>
      <c r="B81" s="290"/>
      <c r="C81" s="19"/>
      <c r="D81" s="32"/>
      <c r="E81" s="32"/>
      <c r="F81" s="278"/>
      <c r="G81" s="52"/>
      <c r="H81" s="245"/>
      <c r="I81" s="541">
        <f>Table1351452010[[#This Row],[ค่าบริการรายเดือนตาม Package]]+Table1351452010[[#This Row],[รายการเบิก
คอมขายเพิ่มเติม
(เป้าตามกำหนด)
100-200%]]</f>
        <v>0</v>
      </c>
      <c r="J81" s="40"/>
      <c r="K81" s="278"/>
      <c r="L81" s="279">
        <f>IF(Table1351452010[[#This Row],[ค่าขายอุปกรณ์]]&gt;Table1351452010[[#This Row],[ต้นทุนค่าขายอุปกรณ์]],Table1351452010[[#This Row],[ต้นทุนค่าขายอุปกรณ์]]*$L$4,Table1351452010[[#This Row],[ค่าขายอุปกรณ์]]*$L$4)</f>
        <v>0</v>
      </c>
      <c r="M81" s="280">
        <f>IF(Table1351452010[[#This Row],[ค่าขายอุปกรณ์]]&gt;Table1351452010[[#This Row],[ต้นทุนค่าขายอุปกรณ์]],SUM(Table1351452010[[#This Row],[ค่าขายอุปกรณ์]]-Table1351452010[[#This Row],[ต้นทุนค่าขายอุปกรณ์]])*$M$4,0)</f>
        <v>0</v>
      </c>
      <c r="N81" s="541">
        <f>SUM(Table1351452010[[#This Row],[คอมฯอุปกรณ์
 5%]:[คอมฯ อุปกรณ์
25%]])</f>
        <v>0</v>
      </c>
      <c r="O81" s="267"/>
      <c r="P81" s="267"/>
      <c r="Q81" s="545">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81" s="248">
        <f>SUM(Table1351452010[[#This Row],[Total
รายการเบิก
คอมขาย]],Table1351452010[[#This Row],[Total
คอมฯ อุปกรณ์]])+Table1351452010[[#This Row],[Total 
คอมฯค่าติดตั้ง/ค่าเชื่อมสัญญาณ]]</f>
        <v>0</v>
      </c>
      <c r="S81" s="268"/>
      <c r="T81" s="268"/>
      <c r="U81" s="269"/>
    </row>
    <row r="82" spans="1:23" s="250" customFormat="1" ht="27" hidden="1" customHeight="1">
      <c r="A82" s="275"/>
      <c r="B82" s="288"/>
      <c r="C82" s="20"/>
      <c r="D82" s="41"/>
      <c r="E82" s="41"/>
      <c r="F82" s="41"/>
      <c r="G82" s="44"/>
      <c r="H82" s="254"/>
      <c r="I82" s="542"/>
      <c r="J82" s="150"/>
      <c r="K82" s="151"/>
      <c r="L82" s="255"/>
      <c r="M82" s="256"/>
      <c r="N82" s="542"/>
      <c r="O82" s="50"/>
      <c r="P82" s="50"/>
      <c r="Q82" s="542"/>
      <c r="R82" s="257" t="s">
        <v>108</v>
      </c>
      <c r="S82" s="132"/>
      <c r="T82" s="271"/>
      <c r="U82" s="272"/>
      <c r="V82" s="3"/>
    </row>
    <row r="83" spans="1:23" s="250" customFormat="1" ht="27" hidden="1" customHeight="1" thickBot="1">
      <c r="A83" s="276"/>
      <c r="B83" s="289"/>
      <c r="C83" s="284"/>
      <c r="D83" s="285"/>
      <c r="E83" s="39"/>
      <c r="F83" s="41"/>
      <c r="G83" s="44"/>
      <c r="H83" s="262"/>
      <c r="I83" s="543"/>
      <c r="J83" s="41"/>
      <c r="K83" s="41"/>
      <c r="L83" s="256"/>
      <c r="M83" s="256"/>
      <c r="N83" s="543"/>
      <c r="O83" s="51"/>
      <c r="P83" s="51"/>
      <c r="Q83" s="543"/>
      <c r="R83" s="263"/>
      <c r="S83" s="132"/>
      <c r="T83" s="271"/>
      <c r="U83" s="264"/>
      <c r="V83" s="3"/>
    </row>
    <row r="84" spans="1:23" s="3" customFormat="1" ht="27.45" hidden="1" customHeight="1">
      <c r="A84" s="274">
        <v>24</v>
      </c>
      <c r="B84" s="291"/>
      <c r="C84" s="19"/>
      <c r="D84" s="32"/>
      <c r="E84" s="32"/>
      <c r="F84" s="278"/>
      <c r="G84" s="52"/>
      <c r="H84" s="245"/>
      <c r="I84" s="541">
        <f>Table1351452010[[#This Row],[ค่าบริการรายเดือนตาม Package]]+Table1351452010[[#This Row],[รายการเบิก
คอมขายเพิ่มเติม
(เป้าตามกำหนด)
100-200%]]</f>
        <v>0</v>
      </c>
      <c r="J84" s="40"/>
      <c r="K84" s="278"/>
      <c r="L84" s="279">
        <f>IF(Table1351452010[[#This Row],[ค่าขายอุปกรณ์]]&gt;Table1351452010[[#This Row],[ต้นทุนค่าขายอุปกรณ์]],Table1351452010[[#This Row],[ต้นทุนค่าขายอุปกรณ์]]*$L$4,Table1351452010[[#This Row],[ค่าขายอุปกรณ์]]*$L$4)</f>
        <v>0</v>
      </c>
      <c r="M84" s="280">
        <f>IF(Table1351452010[[#This Row],[ค่าขายอุปกรณ์]]&gt;Table1351452010[[#This Row],[ต้นทุนค่าขายอุปกรณ์]],SUM(Table1351452010[[#This Row],[ค่าขายอุปกรณ์]]-Table1351452010[[#This Row],[ต้นทุนค่าขายอุปกรณ์]])*$M$4,0)</f>
        <v>0</v>
      </c>
      <c r="N84" s="541">
        <f>SUM(Table1351452010[[#This Row],[คอมฯอุปกรณ์
 5%]:[คอมฯ อุปกรณ์
25%]])</f>
        <v>0</v>
      </c>
      <c r="O84" s="267"/>
      <c r="P84" s="267"/>
      <c r="Q84" s="545">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84" s="248">
        <f>SUM(Table1351452010[[#This Row],[Total
รายการเบิก
คอมขาย]],Table1351452010[[#This Row],[Total
คอมฯ อุปกรณ์]])+Table1351452010[[#This Row],[Total 
คอมฯค่าติดตั้ง/ค่าเชื่อมสัญญาณ]]</f>
        <v>0</v>
      </c>
      <c r="S84" s="268"/>
      <c r="T84" s="268"/>
      <c r="U84" s="269"/>
    </row>
    <row r="85" spans="1:23" s="250" customFormat="1" ht="27" hidden="1" customHeight="1">
      <c r="A85" s="275">
        <v>8.1</v>
      </c>
      <c r="B85" s="288"/>
      <c r="C85" s="20"/>
      <c r="D85" s="41"/>
      <c r="E85" s="41"/>
      <c r="F85" s="41"/>
      <c r="G85" s="44"/>
      <c r="H85" s="254"/>
      <c r="I85" s="542"/>
      <c r="J85" s="150"/>
      <c r="K85" s="151"/>
      <c r="L85" s="255"/>
      <c r="M85" s="256"/>
      <c r="N85" s="542"/>
      <c r="O85" s="50"/>
      <c r="P85" s="50"/>
      <c r="Q85" s="542"/>
      <c r="R85" s="257" t="s">
        <v>108</v>
      </c>
      <c r="S85" s="132"/>
      <c r="T85" s="271"/>
      <c r="U85" s="272"/>
      <c r="V85" s="3"/>
    </row>
    <row r="86" spans="1:23" s="250" customFormat="1" ht="27" hidden="1" customHeight="1" thickBot="1">
      <c r="A86" s="276">
        <v>8.1999999999999993</v>
      </c>
      <c r="B86" s="289"/>
      <c r="C86" s="284"/>
      <c r="D86" s="285"/>
      <c r="E86" s="39"/>
      <c r="F86" s="41"/>
      <c r="G86" s="44"/>
      <c r="H86" s="262"/>
      <c r="I86" s="543"/>
      <c r="J86" s="41"/>
      <c r="K86" s="41"/>
      <c r="L86" s="256"/>
      <c r="M86" s="256"/>
      <c r="N86" s="543"/>
      <c r="O86" s="51"/>
      <c r="P86" s="51"/>
      <c r="Q86" s="543"/>
      <c r="R86" s="263"/>
      <c r="S86" s="132"/>
      <c r="T86" s="271"/>
      <c r="U86" s="264"/>
      <c r="V86" s="3"/>
    </row>
    <row r="87" spans="1:23" s="8" customFormat="1" ht="28.5" customHeight="1" thickBot="1">
      <c r="A87" s="208"/>
      <c r="B87" s="208"/>
      <c r="C87" s="209" t="s">
        <v>5</v>
      </c>
      <c r="D87" s="209"/>
      <c r="E87" s="209"/>
      <c r="F87" s="210">
        <f>SUM(F6:F86)</f>
        <v>11356.07</v>
      </c>
      <c r="G87" s="210"/>
      <c r="H87" s="210">
        <f>SUM(H6:H86)</f>
        <v>0</v>
      </c>
      <c r="I87" s="544">
        <f t="shared" ref="I87:U87" si="0">SUM(I6:I86)</f>
        <v>11356.07</v>
      </c>
      <c r="J87" s="210">
        <f t="shared" si="0"/>
        <v>0</v>
      </c>
      <c r="K87" s="210">
        <f t="shared" si="0"/>
        <v>0</v>
      </c>
      <c r="L87" s="210">
        <f t="shared" si="0"/>
        <v>0</v>
      </c>
      <c r="M87" s="210">
        <f t="shared" si="0"/>
        <v>0</v>
      </c>
      <c r="N87" s="544">
        <f t="shared" si="0"/>
        <v>0</v>
      </c>
      <c r="O87" s="210">
        <f t="shared" si="0"/>
        <v>4000</v>
      </c>
      <c r="P87" s="210">
        <f t="shared" si="0"/>
        <v>3108.64</v>
      </c>
      <c r="Q87" s="544">
        <f t="shared" si="0"/>
        <v>222.84</v>
      </c>
      <c r="R87" s="211">
        <f t="shared" si="0"/>
        <v>11578.91</v>
      </c>
      <c r="S87" s="210">
        <f t="shared" si="0"/>
        <v>0</v>
      </c>
      <c r="T87" s="210">
        <f t="shared" si="0"/>
        <v>0</v>
      </c>
      <c r="U87" s="210">
        <f t="shared" si="0"/>
        <v>0</v>
      </c>
      <c r="W87" s="212"/>
    </row>
    <row r="88" spans="1:23" ht="28.5" customHeight="1" thickTop="1">
      <c r="R88" s="216"/>
      <c r="S88" s="217"/>
      <c r="T88" s="217"/>
      <c r="U88" s="218"/>
    </row>
    <row r="89" spans="1:23" ht="17.399999999999999">
      <c r="C89" s="215"/>
      <c r="D89" s="214"/>
      <c r="E89" s="214"/>
    </row>
    <row r="90" spans="1:23" ht="17.399999999999999">
      <c r="C90" s="220"/>
      <c r="D90" s="221"/>
      <c r="E90" s="221"/>
    </row>
    <row r="91" spans="1:23" ht="17.399999999999999"/>
  </sheetData>
  <sheetProtection formatCells="0" insertRows="0" insertHyperlinks="0" deleteRows="0" sort="0" autoFilter="0" pivotTables="0"/>
  <phoneticPr fontId="20" type="noConversion"/>
  <dataValidations count="3">
    <dataValidation type="list" allowBlank="1" showInputMessage="1" showErrorMessage="1" sqref="WMD983089 JJ2 TF2 ADB2 AMX2 AWT2 BGP2 BQL2 CAH2 CKD2 CTZ2 DDV2 DNR2 DXN2 EHJ2 ERF2 FBB2 FKX2 FUT2 GEP2 GOL2 GYH2 HID2 HRZ2 IBV2 ILR2 IVN2 JFJ2 JPF2 JZB2 KIX2 KST2 LCP2 LML2 LWH2 MGD2 MPZ2 MZV2 NJR2 NTN2 ODJ2 ONF2 OXB2 PGX2 PQT2 QAP2 QKL2 QUH2 RED2 RNZ2 RXV2 SHR2 SRN2 TBJ2 TLF2 TVB2 UEX2 UOT2 UYP2 VIL2 VSH2 WCD2 WLZ2 A65585:B65585 JN65585 TJ65585 ADF65585 ANB65585 AWX65585 BGT65585 BQP65585 CAL65585 CKH65585 CUD65585 DDZ65585 DNV65585 DXR65585 EHN65585 ERJ65585 FBF65585 FLB65585 FUX65585 GET65585 GOP65585 GYL65585 HIH65585 HSD65585 IBZ65585 ILV65585 IVR65585 JFN65585 JPJ65585 JZF65585 KJB65585 KSX65585 LCT65585 LMP65585 LWL65585 MGH65585 MQD65585 MZZ65585 NJV65585 NTR65585 ODN65585 ONJ65585 OXF65585 PHB65585 PQX65585 QAT65585 QKP65585 QUL65585 REH65585 ROD65585 RXZ65585 SHV65585 SRR65585 TBN65585 TLJ65585 TVF65585 UFB65585 UOX65585 UYT65585 VIP65585 VSL65585 WCH65585 WMD65585 A131121:B131121 JN131121 TJ131121 ADF131121 ANB131121 AWX131121 BGT131121 BQP131121 CAL131121 CKH131121 CUD131121 DDZ131121 DNV131121 DXR131121 EHN131121 ERJ131121 FBF131121 FLB131121 FUX131121 GET131121 GOP131121 GYL131121 HIH131121 HSD131121 IBZ131121 ILV131121 IVR131121 JFN131121 JPJ131121 JZF131121 KJB131121 KSX131121 LCT131121 LMP131121 LWL131121 MGH131121 MQD131121 MZZ131121 NJV131121 NTR131121 ODN131121 ONJ131121 OXF131121 PHB131121 PQX131121 QAT131121 QKP131121 QUL131121 REH131121 ROD131121 RXZ131121 SHV131121 SRR131121 TBN131121 TLJ131121 TVF131121 UFB131121 UOX131121 UYT131121 VIP131121 VSL131121 WCH131121 WMD131121 A196657:B196657 JN196657 TJ196657 ADF196657 ANB196657 AWX196657 BGT196657 BQP196657 CAL196657 CKH196657 CUD196657 DDZ196657 DNV196657 DXR196657 EHN196657 ERJ196657 FBF196657 FLB196657 FUX196657 GET196657 GOP196657 GYL196657 HIH196657 HSD196657 IBZ196657 ILV196657 IVR196657 JFN196657 JPJ196657 JZF196657 KJB196657 KSX196657 LCT196657 LMP196657 LWL196657 MGH196657 MQD196657 MZZ196657 NJV196657 NTR196657 ODN196657 ONJ196657 OXF196657 PHB196657 PQX196657 QAT196657 QKP196657 QUL196657 REH196657 ROD196657 RXZ196657 SHV196657 SRR196657 TBN196657 TLJ196657 TVF196657 UFB196657 UOX196657 UYT196657 VIP196657 VSL196657 WCH196657 WMD196657 A262193:B262193 JN262193 TJ262193 ADF262193 ANB262193 AWX262193 BGT262193 BQP262193 CAL262193 CKH262193 CUD262193 DDZ262193 DNV262193 DXR262193 EHN262193 ERJ262193 FBF262193 FLB262193 FUX262193 GET262193 GOP262193 GYL262193 HIH262193 HSD262193 IBZ262193 ILV262193 IVR262193 JFN262193 JPJ262193 JZF262193 KJB262193 KSX262193 LCT262193 LMP262193 LWL262193 MGH262193 MQD262193 MZZ262193 NJV262193 NTR262193 ODN262193 ONJ262193 OXF262193 PHB262193 PQX262193 QAT262193 QKP262193 QUL262193 REH262193 ROD262193 RXZ262193 SHV262193 SRR262193 TBN262193 TLJ262193 TVF262193 UFB262193 UOX262193 UYT262193 VIP262193 VSL262193 WCH262193 WMD262193 A327729:B327729 JN327729 TJ327729 ADF327729 ANB327729 AWX327729 BGT327729 BQP327729 CAL327729 CKH327729 CUD327729 DDZ327729 DNV327729 DXR327729 EHN327729 ERJ327729 FBF327729 FLB327729 FUX327729 GET327729 GOP327729 GYL327729 HIH327729 HSD327729 IBZ327729 ILV327729 IVR327729 JFN327729 JPJ327729 JZF327729 KJB327729 KSX327729 LCT327729 LMP327729 LWL327729 MGH327729 MQD327729 MZZ327729 NJV327729 NTR327729 ODN327729 ONJ327729 OXF327729 PHB327729 PQX327729 QAT327729 QKP327729 QUL327729 REH327729 ROD327729 RXZ327729 SHV327729 SRR327729 TBN327729 TLJ327729 TVF327729 UFB327729 UOX327729 UYT327729 VIP327729 VSL327729 WCH327729 WMD327729 A393265:B393265 JN393265 TJ393265 ADF393265 ANB393265 AWX393265 BGT393265 BQP393265 CAL393265 CKH393265 CUD393265 DDZ393265 DNV393265 DXR393265 EHN393265 ERJ393265 FBF393265 FLB393265 FUX393265 GET393265 GOP393265 GYL393265 HIH393265 HSD393265 IBZ393265 ILV393265 IVR393265 JFN393265 JPJ393265 JZF393265 KJB393265 KSX393265 LCT393265 LMP393265 LWL393265 MGH393265 MQD393265 MZZ393265 NJV393265 NTR393265 ODN393265 ONJ393265 OXF393265 PHB393265 PQX393265 QAT393265 QKP393265 QUL393265 REH393265 ROD393265 RXZ393265 SHV393265 SRR393265 TBN393265 TLJ393265 TVF393265 UFB393265 UOX393265 UYT393265 VIP393265 VSL393265 WCH393265 WMD393265 A458801:B458801 JN458801 TJ458801 ADF458801 ANB458801 AWX458801 BGT458801 BQP458801 CAL458801 CKH458801 CUD458801 DDZ458801 DNV458801 DXR458801 EHN458801 ERJ458801 FBF458801 FLB458801 FUX458801 GET458801 GOP458801 GYL458801 HIH458801 HSD458801 IBZ458801 ILV458801 IVR458801 JFN458801 JPJ458801 JZF458801 KJB458801 KSX458801 LCT458801 LMP458801 LWL458801 MGH458801 MQD458801 MZZ458801 NJV458801 NTR458801 ODN458801 ONJ458801 OXF458801 PHB458801 PQX458801 QAT458801 QKP458801 QUL458801 REH458801 ROD458801 RXZ458801 SHV458801 SRR458801 TBN458801 TLJ458801 TVF458801 UFB458801 UOX458801 UYT458801 VIP458801 VSL458801 WCH458801 WMD458801 A524337:B524337 JN524337 TJ524337 ADF524337 ANB524337 AWX524337 BGT524337 BQP524337 CAL524337 CKH524337 CUD524337 DDZ524337 DNV524337 DXR524337 EHN524337 ERJ524337 FBF524337 FLB524337 FUX524337 GET524337 GOP524337 GYL524337 HIH524337 HSD524337 IBZ524337 ILV524337 IVR524337 JFN524337 JPJ524337 JZF524337 KJB524337 KSX524337 LCT524337 LMP524337 LWL524337 MGH524337 MQD524337 MZZ524337 NJV524337 NTR524337 ODN524337 ONJ524337 OXF524337 PHB524337 PQX524337 QAT524337 QKP524337 QUL524337 REH524337 ROD524337 RXZ524337 SHV524337 SRR524337 TBN524337 TLJ524337 TVF524337 UFB524337 UOX524337 UYT524337 VIP524337 VSL524337 WCH524337 WMD524337 A589873:B589873 JN589873 TJ589873 ADF589873 ANB589873 AWX589873 BGT589873 BQP589873 CAL589873 CKH589873 CUD589873 DDZ589873 DNV589873 DXR589873 EHN589873 ERJ589873 FBF589873 FLB589873 FUX589873 GET589873 GOP589873 GYL589873 HIH589873 HSD589873 IBZ589873 ILV589873 IVR589873 JFN589873 JPJ589873 JZF589873 KJB589873 KSX589873 LCT589873 LMP589873 LWL589873 MGH589873 MQD589873 MZZ589873 NJV589873 NTR589873 ODN589873 ONJ589873 OXF589873 PHB589873 PQX589873 QAT589873 QKP589873 QUL589873 REH589873 ROD589873 RXZ589873 SHV589873 SRR589873 TBN589873 TLJ589873 TVF589873 UFB589873 UOX589873 UYT589873 VIP589873 VSL589873 WCH589873 WMD589873 A655409:B655409 JN655409 TJ655409 ADF655409 ANB655409 AWX655409 BGT655409 BQP655409 CAL655409 CKH655409 CUD655409 DDZ655409 DNV655409 DXR655409 EHN655409 ERJ655409 FBF655409 FLB655409 FUX655409 GET655409 GOP655409 GYL655409 HIH655409 HSD655409 IBZ655409 ILV655409 IVR655409 JFN655409 JPJ655409 JZF655409 KJB655409 KSX655409 LCT655409 LMP655409 LWL655409 MGH655409 MQD655409 MZZ655409 NJV655409 NTR655409 ODN655409 ONJ655409 OXF655409 PHB655409 PQX655409 QAT655409 QKP655409 QUL655409 REH655409 ROD655409 RXZ655409 SHV655409 SRR655409 TBN655409 TLJ655409 TVF655409 UFB655409 UOX655409 UYT655409 VIP655409 VSL655409 WCH655409 WMD655409 A720945:B720945 JN720945 TJ720945 ADF720945 ANB720945 AWX720945 BGT720945 BQP720945 CAL720945 CKH720945 CUD720945 DDZ720945 DNV720945 DXR720945 EHN720945 ERJ720945 FBF720945 FLB720945 FUX720945 GET720945 GOP720945 GYL720945 HIH720945 HSD720945 IBZ720945 ILV720945 IVR720945 JFN720945 JPJ720945 JZF720945 KJB720945 KSX720945 LCT720945 LMP720945 LWL720945 MGH720945 MQD720945 MZZ720945 NJV720945 NTR720945 ODN720945 ONJ720945 OXF720945 PHB720945 PQX720945 QAT720945 QKP720945 QUL720945 REH720945 ROD720945 RXZ720945 SHV720945 SRR720945 TBN720945 TLJ720945 TVF720945 UFB720945 UOX720945 UYT720945 VIP720945 VSL720945 WCH720945 WMD720945 A786481:B786481 JN786481 TJ786481 ADF786481 ANB786481 AWX786481 BGT786481 BQP786481 CAL786481 CKH786481 CUD786481 DDZ786481 DNV786481 DXR786481 EHN786481 ERJ786481 FBF786481 FLB786481 FUX786481 GET786481 GOP786481 GYL786481 HIH786481 HSD786481 IBZ786481 ILV786481 IVR786481 JFN786481 JPJ786481 JZF786481 KJB786481 KSX786481 LCT786481 LMP786481 LWL786481 MGH786481 MQD786481 MZZ786481 NJV786481 NTR786481 ODN786481 ONJ786481 OXF786481 PHB786481 PQX786481 QAT786481 QKP786481 QUL786481 REH786481 ROD786481 RXZ786481 SHV786481 SRR786481 TBN786481 TLJ786481 TVF786481 UFB786481 UOX786481 UYT786481 VIP786481 VSL786481 WCH786481 WMD786481 A852017:B852017 JN852017 TJ852017 ADF852017 ANB852017 AWX852017 BGT852017 BQP852017 CAL852017 CKH852017 CUD852017 DDZ852017 DNV852017 DXR852017 EHN852017 ERJ852017 FBF852017 FLB852017 FUX852017 GET852017 GOP852017 GYL852017 HIH852017 HSD852017 IBZ852017 ILV852017 IVR852017 JFN852017 JPJ852017 JZF852017 KJB852017 KSX852017 LCT852017 LMP852017 LWL852017 MGH852017 MQD852017 MZZ852017 NJV852017 NTR852017 ODN852017 ONJ852017 OXF852017 PHB852017 PQX852017 QAT852017 QKP852017 QUL852017 REH852017 ROD852017 RXZ852017 SHV852017 SRR852017 TBN852017 TLJ852017 TVF852017 UFB852017 UOX852017 UYT852017 VIP852017 VSL852017 WCH852017 WMD852017 A917553:B917553 JN917553 TJ917553 ADF917553 ANB917553 AWX917553 BGT917553 BQP917553 CAL917553 CKH917553 CUD917553 DDZ917553 DNV917553 DXR917553 EHN917553 ERJ917553 FBF917553 FLB917553 FUX917553 GET917553 GOP917553 GYL917553 HIH917553 HSD917553 IBZ917553 ILV917553 IVR917553 JFN917553 JPJ917553 JZF917553 KJB917553 KSX917553 LCT917553 LMP917553 LWL917553 MGH917553 MQD917553 MZZ917553 NJV917553 NTR917553 ODN917553 ONJ917553 OXF917553 PHB917553 PQX917553 QAT917553 QKP917553 QUL917553 REH917553 ROD917553 RXZ917553 SHV917553 SRR917553 TBN917553 TLJ917553 TVF917553 UFB917553 UOX917553 UYT917553 VIP917553 VSL917553 WCH917553 WMD917553 A983089:B983089 JN983089 TJ983089 ADF983089 ANB983089 AWX983089 BGT983089 BQP983089 CAL983089 CKH983089 CUD983089 DDZ983089 DNV983089 DXR983089 EHN983089 ERJ983089 FBF983089 FLB983089 FUX983089 GET983089 GOP983089 GYL983089 HIH983089 HSD983089 IBZ983089 ILV983089 IVR983089 JFN983089 JPJ983089 JZF983089 KJB983089 KSX983089 LCT983089 LMP983089 LWL983089 MGH983089 MQD983089 MZZ983089 NJV983089 NTR983089 ODN983089 ONJ983089 OXF983089 PHB983089 PQX983089 QAT983089 QKP983089 QUL983089 REH983089 ROD983089 RXZ983089 SHV983089 SRR983089 TBN983089 TLJ983089 TVF983089 UFB983089 UOX983089 UYT983089 VIP983089 VSL983089 WCH983089 A2" xr:uid="{03142BC0-4A64-4949-8FC3-7924DF007D13}">
      <formula1>"ประจำเดือน มกราคม,ประจำเดือน กุมภาพันธ์,ประจำเดือน มีนาคม,ประจำเดือน เมษายน,ประจำเดือน พฤษภาคม,ประจำเดือน มิถุนายน,ประจำเดือน กรกฏาคม,ประจำเดือน สิงหาคม,ประจำเดือน กันยายน,ประจำเดือน ตุลาคม,ประจำเดือน พฤศจิกายน,ประจำเดือน ธันวาคม"</formula1>
    </dataValidation>
    <dataValidation type="list" allowBlank="1" showInputMessage="1" showErrorMessage="1" sqref="WMV983093:WMV983122 AJ65589:AJ65618 KF65589:KF65618 UB65589:UB65618 ADX65589:ADX65618 ANT65589:ANT65618 AXP65589:AXP65618 BHL65589:BHL65618 BRH65589:BRH65618 CBD65589:CBD65618 CKZ65589:CKZ65618 CUV65589:CUV65618 DER65589:DER65618 DON65589:DON65618 DYJ65589:DYJ65618 EIF65589:EIF65618 ESB65589:ESB65618 FBX65589:FBX65618 FLT65589:FLT65618 FVP65589:FVP65618 GFL65589:GFL65618 GPH65589:GPH65618 GZD65589:GZD65618 HIZ65589:HIZ65618 HSV65589:HSV65618 ICR65589:ICR65618 IMN65589:IMN65618 IWJ65589:IWJ65618 JGF65589:JGF65618 JQB65589:JQB65618 JZX65589:JZX65618 KJT65589:KJT65618 KTP65589:KTP65618 LDL65589:LDL65618 LNH65589:LNH65618 LXD65589:LXD65618 MGZ65589:MGZ65618 MQV65589:MQV65618 NAR65589:NAR65618 NKN65589:NKN65618 NUJ65589:NUJ65618 OEF65589:OEF65618 OOB65589:OOB65618 OXX65589:OXX65618 PHT65589:PHT65618 PRP65589:PRP65618 QBL65589:QBL65618 QLH65589:QLH65618 QVD65589:QVD65618 REZ65589:REZ65618 ROV65589:ROV65618 RYR65589:RYR65618 SIN65589:SIN65618 SSJ65589:SSJ65618 TCF65589:TCF65618 TMB65589:TMB65618 TVX65589:TVX65618 UFT65589:UFT65618 UPP65589:UPP65618 UZL65589:UZL65618 VJH65589:VJH65618 VTD65589:VTD65618 WCZ65589:WCZ65618 WMV65589:WMV65618 AJ131125:AJ131154 KF131125:KF131154 UB131125:UB131154 ADX131125:ADX131154 ANT131125:ANT131154 AXP131125:AXP131154 BHL131125:BHL131154 BRH131125:BRH131154 CBD131125:CBD131154 CKZ131125:CKZ131154 CUV131125:CUV131154 DER131125:DER131154 DON131125:DON131154 DYJ131125:DYJ131154 EIF131125:EIF131154 ESB131125:ESB131154 FBX131125:FBX131154 FLT131125:FLT131154 FVP131125:FVP131154 GFL131125:GFL131154 GPH131125:GPH131154 GZD131125:GZD131154 HIZ131125:HIZ131154 HSV131125:HSV131154 ICR131125:ICR131154 IMN131125:IMN131154 IWJ131125:IWJ131154 JGF131125:JGF131154 JQB131125:JQB131154 JZX131125:JZX131154 KJT131125:KJT131154 KTP131125:KTP131154 LDL131125:LDL131154 LNH131125:LNH131154 LXD131125:LXD131154 MGZ131125:MGZ131154 MQV131125:MQV131154 NAR131125:NAR131154 NKN131125:NKN131154 NUJ131125:NUJ131154 OEF131125:OEF131154 OOB131125:OOB131154 OXX131125:OXX131154 PHT131125:PHT131154 PRP131125:PRP131154 QBL131125:QBL131154 QLH131125:QLH131154 QVD131125:QVD131154 REZ131125:REZ131154 ROV131125:ROV131154 RYR131125:RYR131154 SIN131125:SIN131154 SSJ131125:SSJ131154 TCF131125:TCF131154 TMB131125:TMB131154 TVX131125:TVX131154 UFT131125:UFT131154 UPP131125:UPP131154 UZL131125:UZL131154 VJH131125:VJH131154 VTD131125:VTD131154 WCZ131125:WCZ131154 WMV131125:WMV131154 AJ196661:AJ196690 KF196661:KF196690 UB196661:UB196690 ADX196661:ADX196690 ANT196661:ANT196690 AXP196661:AXP196690 BHL196661:BHL196690 BRH196661:BRH196690 CBD196661:CBD196690 CKZ196661:CKZ196690 CUV196661:CUV196690 DER196661:DER196690 DON196661:DON196690 DYJ196661:DYJ196690 EIF196661:EIF196690 ESB196661:ESB196690 FBX196661:FBX196690 FLT196661:FLT196690 FVP196661:FVP196690 GFL196661:GFL196690 GPH196661:GPH196690 GZD196661:GZD196690 HIZ196661:HIZ196690 HSV196661:HSV196690 ICR196661:ICR196690 IMN196661:IMN196690 IWJ196661:IWJ196690 JGF196661:JGF196690 JQB196661:JQB196690 JZX196661:JZX196690 KJT196661:KJT196690 KTP196661:KTP196690 LDL196661:LDL196690 LNH196661:LNH196690 LXD196661:LXD196690 MGZ196661:MGZ196690 MQV196661:MQV196690 NAR196661:NAR196690 NKN196661:NKN196690 NUJ196661:NUJ196690 OEF196661:OEF196690 OOB196661:OOB196690 OXX196661:OXX196690 PHT196661:PHT196690 PRP196661:PRP196690 QBL196661:QBL196690 QLH196661:QLH196690 QVD196661:QVD196690 REZ196661:REZ196690 ROV196661:ROV196690 RYR196661:RYR196690 SIN196661:SIN196690 SSJ196661:SSJ196690 TCF196661:TCF196690 TMB196661:TMB196690 TVX196661:TVX196690 UFT196661:UFT196690 UPP196661:UPP196690 UZL196661:UZL196690 VJH196661:VJH196690 VTD196661:VTD196690 WCZ196661:WCZ196690 WMV196661:WMV196690 AJ262197:AJ262226 KF262197:KF262226 UB262197:UB262226 ADX262197:ADX262226 ANT262197:ANT262226 AXP262197:AXP262226 BHL262197:BHL262226 BRH262197:BRH262226 CBD262197:CBD262226 CKZ262197:CKZ262226 CUV262197:CUV262226 DER262197:DER262226 DON262197:DON262226 DYJ262197:DYJ262226 EIF262197:EIF262226 ESB262197:ESB262226 FBX262197:FBX262226 FLT262197:FLT262226 FVP262197:FVP262226 GFL262197:GFL262226 GPH262197:GPH262226 GZD262197:GZD262226 HIZ262197:HIZ262226 HSV262197:HSV262226 ICR262197:ICR262226 IMN262197:IMN262226 IWJ262197:IWJ262226 JGF262197:JGF262226 JQB262197:JQB262226 JZX262197:JZX262226 KJT262197:KJT262226 KTP262197:KTP262226 LDL262197:LDL262226 LNH262197:LNH262226 LXD262197:LXD262226 MGZ262197:MGZ262226 MQV262197:MQV262226 NAR262197:NAR262226 NKN262197:NKN262226 NUJ262197:NUJ262226 OEF262197:OEF262226 OOB262197:OOB262226 OXX262197:OXX262226 PHT262197:PHT262226 PRP262197:PRP262226 QBL262197:QBL262226 QLH262197:QLH262226 QVD262197:QVD262226 REZ262197:REZ262226 ROV262197:ROV262226 RYR262197:RYR262226 SIN262197:SIN262226 SSJ262197:SSJ262226 TCF262197:TCF262226 TMB262197:TMB262226 TVX262197:TVX262226 UFT262197:UFT262226 UPP262197:UPP262226 UZL262197:UZL262226 VJH262197:VJH262226 VTD262197:VTD262226 WCZ262197:WCZ262226 WMV262197:WMV262226 AJ327733:AJ327762 KF327733:KF327762 UB327733:UB327762 ADX327733:ADX327762 ANT327733:ANT327762 AXP327733:AXP327762 BHL327733:BHL327762 BRH327733:BRH327762 CBD327733:CBD327762 CKZ327733:CKZ327762 CUV327733:CUV327762 DER327733:DER327762 DON327733:DON327762 DYJ327733:DYJ327762 EIF327733:EIF327762 ESB327733:ESB327762 FBX327733:FBX327762 FLT327733:FLT327762 FVP327733:FVP327762 GFL327733:GFL327762 GPH327733:GPH327762 GZD327733:GZD327762 HIZ327733:HIZ327762 HSV327733:HSV327762 ICR327733:ICR327762 IMN327733:IMN327762 IWJ327733:IWJ327762 JGF327733:JGF327762 JQB327733:JQB327762 JZX327733:JZX327762 KJT327733:KJT327762 KTP327733:KTP327762 LDL327733:LDL327762 LNH327733:LNH327762 LXD327733:LXD327762 MGZ327733:MGZ327762 MQV327733:MQV327762 NAR327733:NAR327762 NKN327733:NKN327762 NUJ327733:NUJ327762 OEF327733:OEF327762 OOB327733:OOB327762 OXX327733:OXX327762 PHT327733:PHT327762 PRP327733:PRP327762 QBL327733:QBL327762 QLH327733:QLH327762 QVD327733:QVD327762 REZ327733:REZ327762 ROV327733:ROV327762 RYR327733:RYR327762 SIN327733:SIN327762 SSJ327733:SSJ327762 TCF327733:TCF327762 TMB327733:TMB327762 TVX327733:TVX327762 UFT327733:UFT327762 UPP327733:UPP327762 UZL327733:UZL327762 VJH327733:VJH327762 VTD327733:VTD327762 WCZ327733:WCZ327762 WMV327733:WMV327762 AJ393269:AJ393298 KF393269:KF393298 UB393269:UB393298 ADX393269:ADX393298 ANT393269:ANT393298 AXP393269:AXP393298 BHL393269:BHL393298 BRH393269:BRH393298 CBD393269:CBD393298 CKZ393269:CKZ393298 CUV393269:CUV393298 DER393269:DER393298 DON393269:DON393298 DYJ393269:DYJ393298 EIF393269:EIF393298 ESB393269:ESB393298 FBX393269:FBX393298 FLT393269:FLT393298 FVP393269:FVP393298 GFL393269:GFL393298 GPH393269:GPH393298 GZD393269:GZD393298 HIZ393269:HIZ393298 HSV393269:HSV393298 ICR393269:ICR393298 IMN393269:IMN393298 IWJ393269:IWJ393298 JGF393269:JGF393298 JQB393269:JQB393298 JZX393269:JZX393298 KJT393269:KJT393298 KTP393269:KTP393298 LDL393269:LDL393298 LNH393269:LNH393298 LXD393269:LXD393298 MGZ393269:MGZ393298 MQV393269:MQV393298 NAR393269:NAR393298 NKN393269:NKN393298 NUJ393269:NUJ393298 OEF393269:OEF393298 OOB393269:OOB393298 OXX393269:OXX393298 PHT393269:PHT393298 PRP393269:PRP393298 QBL393269:QBL393298 QLH393269:QLH393298 QVD393269:QVD393298 REZ393269:REZ393298 ROV393269:ROV393298 RYR393269:RYR393298 SIN393269:SIN393298 SSJ393269:SSJ393298 TCF393269:TCF393298 TMB393269:TMB393298 TVX393269:TVX393298 UFT393269:UFT393298 UPP393269:UPP393298 UZL393269:UZL393298 VJH393269:VJH393298 VTD393269:VTD393298 WCZ393269:WCZ393298 WMV393269:WMV393298 AJ458805:AJ458834 KF458805:KF458834 UB458805:UB458834 ADX458805:ADX458834 ANT458805:ANT458834 AXP458805:AXP458834 BHL458805:BHL458834 BRH458805:BRH458834 CBD458805:CBD458834 CKZ458805:CKZ458834 CUV458805:CUV458834 DER458805:DER458834 DON458805:DON458834 DYJ458805:DYJ458834 EIF458805:EIF458834 ESB458805:ESB458834 FBX458805:FBX458834 FLT458805:FLT458834 FVP458805:FVP458834 GFL458805:GFL458834 GPH458805:GPH458834 GZD458805:GZD458834 HIZ458805:HIZ458834 HSV458805:HSV458834 ICR458805:ICR458834 IMN458805:IMN458834 IWJ458805:IWJ458834 JGF458805:JGF458834 JQB458805:JQB458834 JZX458805:JZX458834 KJT458805:KJT458834 KTP458805:KTP458834 LDL458805:LDL458834 LNH458805:LNH458834 LXD458805:LXD458834 MGZ458805:MGZ458834 MQV458805:MQV458834 NAR458805:NAR458834 NKN458805:NKN458834 NUJ458805:NUJ458834 OEF458805:OEF458834 OOB458805:OOB458834 OXX458805:OXX458834 PHT458805:PHT458834 PRP458805:PRP458834 QBL458805:QBL458834 QLH458805:QLH458834 QVD458805:QVD458834 REZ458805:REZ458834 ROV458805:ROV458834 RYR458805:RYR458834 SIN458805:SIN458834 SSJ458805:SSJ458834 TCF458805:TCF458834 TMB458805:TMB458834 TVX458805:TVX458834 UFT458805:UFT458834 UPP458805:UPP458834 UZL458805:UZL458834 VJH458805:VJH458834 VTD458805:VTD458834 WCZ458805:WCZ458834 WMV458805:WMV458834 AJ524341:AJ524370 KF524341:KF524370 UB524341:UB524370 ADX524341:ADX524370 ANT524341:ANT524370 AXP524341:AXP524370 BHL524341:BHL524370 BRH524341:BRH524370 CBD524341:CBD524370 CKZ524341:CKZ524370 CUV524341:CUV524370 DER524341:DER524370 DON524341:DON524370 DYJ524341:DYJ524370 EIF524341:EIF524370 ESB524341:ESB524370 FBX524341:FBX524370 FLT524341:FLT524370 FVP524341:FVP524370 GFL524341:GFL524370 GPH524341:GPH524370 GZD524341:GZD524370 HIZ524341:HIZ524370 HSV524341:HSV524370 ICR524341:ICR524370 IMN524341:IMN524370 IWJ524341:IWJ524370 JGF524341:JGF524370 JQB524341:JQB524370 JZX524341:JZX524370 KJT524341:KJT524370 KTP524341:KTP524370 LDL524341:LDL524370 LNH524341:LNH524370 LXD524341:LXD524370 MGZ524341:MGZ524370 MQV524341:MQV524370 NAR524341:NAR524370 NKN524341:NKN524370 NUJ524341:NUJ524370 OEF524341:OEF524370 OOB524341:OOB524370 OXX524341:OXX524370 PHT524341:PHT524370 PRP524341:PRP524370 QBL524341:QBL524370 QLH524341:QLH524370 QVD524341:QVD524370 REZ524341:REZ524370 ROV524341:ROV524370 RYR524341:RYR524370 SIN524341:SIN524370 SSJ524341:SSJ524370 TCF524341:TCF524370 TMB524341:TMB524370 TVX524341:TVX524370 UFT524341:UFT524370 UPP524341:UPP524370 UZL524341:UZL524370 VJH524341:VJH524370 VTD524341:VTD524370 WCZ524341:WCZ524370 WMV524341:WMV524370 AJ589877:AJ589906 KF589877:KF589906 UB589877:UB589906 ADX589877:ADX589906 ANT589877:ANT589906 AXP589877:AXP589906 BHL589877:BHL589906 BRH589877:BRH589906 CBD589877:CBD589906 CKZ589877:CKZ589906 CUV589877:CUV589906 DER589877:DER589906 DON589877:DON589906 DYJ589877:DYJ589906 EIF589877:EIF589906 ESB589877:ESB589906 FBX589877:FBX589906 FLT589877:FLT589906 FVP589877:FVP589906 GFL589877:GFL589906 GPH589877:GPH589906 GZD589877:GZD589906 HIZ589877:HIZ589906 HSV589877:HSV589906 ICR589877:ICR589906 IMN589877:IMN589906 IWJ589877:IWJ589906 JGF589877:JGF589906 JQB589877:JQB589906 JZX589877:JZX589906 KJT589877:KJT589906 KTP589877:KTP589906 LDL589877:LDL589906 LNH589877:LNH589906 LXD589877:LXD589906 MGZ589877:MGZ589906 MQV589877:MQV589906 NAR589877:NAR589906 NKN589877:NKN589906 NUJ589877:NUJ589906 OEF589877:OEF589906 OOB589877:OOB589906 OXX589877:OXX589906 PHT589877:PHT589906 PRP589877:PRP589906 QBL589877:QBL589906 QLH589877:QLH589906 QVD589877:QVD589906 REZ589877:REZ589906 ROV589877:ROV589906 RYR589877:RYR589906 SIN589877:SIN589906 SSJ589877:SSJ589906 TCF589877:TCF589906 TMB589877:TMB589906 TVX589877:TVX589906 UFT589877:UFT589906 UPP589877:UPP589906 UZL589877:UZL589906 VJH589877:VJH589906 VTD589877:VTD589906 WCZ589877:WCZ589906 WMV589877:WMV589906 AJ655413:AJ655442 KF655413:KF655442 UB655413:UB655442 ADX655413:ADX655442 ANT655413:ANT655442 AXP655413:AXP655442 BHL655413:BHL655442 BRH655413:BRH655442 CBD655413:CBD655442 CKZ655413:CKZ655442 CUV655413:CUV655442 DER655413:DER655442 DON655413:DON655442 DYJ655413:DYJ655442 EIF655413:EIF655442 ESB655413:ESB655442 FBX655413:FBX655442 FLT655413:FLT655442 FVP655413:FVP655442 GFL655413:GFL655442 GPH655413:GPH655442 GZD655413:GZD655442 HIZ655413:HIZ655442 HSV655413:HSV655442 ICR655413:ICR655442 IMN655413:IMN655442 IWJ655413:IWJ655442 JGF655413:JGF655442 JQB655413:JQB655442 JZX655413:JZX655442 KJT655413:KJT655442 KTP655413:KTP655442 LDL655413:LDL655442 LNH655413:LNH655442 LXD655413:LXD655442 MGZ655413:MGZ655442 MQV655413:MQV655442 NAR655413:NAR655442 NKN655413:NKN655442 NUJ655413:NUJ655442 OEF655413:OEF655442 OOB655413:OOB655442 OXX655413:OXX655442 PHT655413:PHT655442 PRP655413:PRP655442 QBL655413:QBL655442 QLH655413:QLH655442 QVD655413:QVD655442 REZ655413:REZ655442 ROV655413:ROV655442 RYR655413:RYR655442 SIN655413:SIN655442 SSJ655413:SSJ655442 TCF655413:TCF655442 TMB655413:TMB655442 TVX655413:TVX655442 UFT655413:UFT655442 UPP655413:UPP655442 UZL655413:UZL655442 VJH655413:VJH655442 VTD655413:VTD655442 WCZ655413:WCZ655442 WMV655413:WMV655442 AJ720949:AJ720978 KF720949:KF720978 UB720949:UB720978 ADX720949:ADX720978 ANT720949:ANT720978 AXP720949:AXP720978 BHL720949:BHL720978 BRH720949:BRH720978 CBD720949:CBD720978 CKZ720949:CKZ720978 CUV720949:CUV720978 DER720949:DER720978 DON720949:DON720978 DYJ720949:DYJ720978 EIF720949:EIF720978 ESB720949:ESB720978 FBX720949:FBX720978 FLT720949:FLT720978 FVP720949:FVP720978 GFL720949:GFL720978 GPH720949:GPH720978 GZD720949:GZD720978 HIZ720949:HIZ720978 HSV720949:HSV720978 ICR720949:ICR720978 IMN720949:IMN720978 IWJ720949:IWJ720978 JGF720949:JGF720978 JQB720949:JQB720978 JZX720949:JZX720978 KJT720949:KJT720978 KTP720949:KTP720978 LDL720949:LDL720978 LNH720949:LNH720978 LXD720949:LXD720978 MGZ720949:MGZ720978 MQV720949:MQV720978 NAR720949:NAR720978 NKN720949:NKN720978 NUJ720949:NUJ720978 OEF720949:OEF720978 OOB720949:OOB720978 OXX720949:OXX720978 PHT720949:PHT720978 PRP720949:PRP720978 QBL720949:QBL720978 QLH720949:QLH720978 QVD720949:QVD720978 REZ720949:REZ720978 ROV720949:ROV720978 RYR720949:RYR720978 SIN720949:SIN720978 SSJ720949:SSJ720978 TCF720949:TCF720978 TMB720949:TMB720978 TVX720949:TVX720978 UFT720949:UFT720978 UPP720949:UPP720978 UZL720949:UZL720978 VJH720949:VJH720978 VTD720949:VTD720978 WCZ720949:WCZ720978 WMV720949:WMV720978 AJ786485:AJ786514 KF786485:KF786514 UB786485:UB786514 ADX786485:ADX786514 ANT786485:ANT786514 AXP786485:AXP786514 BHL786485:BHL786514 BRH786485:BRH786514 CBD786485:CBD786514 CKZ786485:CKZ786514 CUV786485:CUV786514 DER786485:DER786514 DON786485:DON786514 DYJ786485:DYJ786514 EIF786485:EIF786514 ESB786485:ESB786514 FBX786485:FBX786514 FLT786485:FLT786514 FVP786485:FVP786514 GFL786485:GFL786514 GPH786485:GPH786514 GZD786485:GZD786514 HIZ786485:HIZ786514 HSV786485:HSV786514 ICR786485:ICR786514 IMN786485:IMN786514 IWJ786485:IWJ786514 JGF786485:JGF786514 JQB786485:JQB786514 JZX786485:JZX786514 KJT786485:KJT786514 KTP786485:KTP786514 LDL786485:LDL786514 LNH786485:LNH786514 LXD786485:LXD786514 MGZ786485:MGZ786514 MQV786485:MQV786514 NAR786485:NAR786514 NKN786485:NKN786514 NUJ786485:NUJ786514 OEF786485:OEF786514 OOB786485:OOB786514 OXX786485:OXX786514 PHT786485:PHT786514 PRP786485:PRP786514 QBL786485:QBL786514 QLH786485:QLH786514 QVD786485:QVD786514 REZ786485:REZ786514 ROV786485:ROV786514 RYR786485:RYR786514 SIN786485:SIN786514 SSJ786485:SSJ786514 TCF786485:TCF786514 TMB786485:TMB786514 TVX786485:TVX786514 UFT786485:UFT786514 UPP786485:UPP786514 UZL786485:UZL786514 VJH786485:VJH786514 VTD786485:VTD786514 WCZ786485:WCZ786514 WMV786485:WMV786514 AJ852021:AJ852050 KF852021:KF852050 UB852021:UB852050 ADX852021:ADX852050 ANT852021:ANT852050 AXP852021:AXP852050 BHL852021:BHL852050 BRH852021:BRH852050 CBD852021:CBD852050 CKZ852021:CKZ852050 CUV852021:CUV852050 DER852021:DER852050 DON852021:DON852050 DYJ852021:DYJ852050 EIF852021:EIF852050 ESB852021:ESB852050 FBX852021:FBX852050 FLT852021:FLT852050 FVP852021:FVP852050 GFL852021:GFL852050 GPH852021:GPH852050 GZD852021:GZD852050 HIZ852021:HIZ852050 HSV852021:HSV852050 ICR852021:ICR852050 IMN852021:IMN852050 IWJ852021:IWJ852050 JGF852021:JGF852050 JQB852021:JQB852050 JZX852021:JZX852050 KJT852021:KJT852050 KTP852021:KTP852050 LDL852021:LDL852050 LNH852021:LNH852050 LXD852021:LXD852050 MGZ852021:MGZ852050 MQV852021:MQV852050 NAR852021:NAR852050 NKN852021:NKN852050 NUJ852021:NUJ852050 OEF852021:OEF852050 OOB852021:OOB852050 OXX852021:OXX852050 PHT852021:PHT852050 PRP852021:PRP852050 QBL852021:QBL852050 QLH852021:QLH852050 QVD852021:QVD852050 REZ852021:REZ852050 ROV852021:ROV852050 RYR852021:RYR852050 SIN852021:SIN852050 SSJ852021:SSJ852050 TCF852021:TCF852050 TMB852021:TMB852050 TVX852021:TVX852050 UFT852021:UFT852050 UPP852021:UPP852050 UZL852021:UZL852050 VJH852021:VJH852050 VTD852021:VTD852050 WCZ852021:WCZ852050 WMV852021:WMV852050 AJ917557:AJ917586 KF917557:KF917586 UB917557:UB917586 ADX917557:ADX917586 ANT917557:ANT917586 AXP917557:AXP917586 BHL917557:BHL917586 BRH917557:BRH917586 CBD917557:CBD917586 CKZ917557:CKZ917586 CUV917557:CUV917586 DER917557:DER917586 DON917557:DON917586 DYJ917557:DYJ917586 EIF917557:EIF917586 ESB917557:ESB917586 FBX917557:FBX917586 FLT917557:FLT917586 FVP917557:FVP917586 GFL917557:GFL917586 GPH917557:GPH917586 GZD917557:GZD917586 HIZ917557:HIZ917586 HSV917557:HSV917586 ICR917557:ICR917586 IMN917557:IMN917586 IWJ917557:IWJ917586 JGF917557:JGF917586 JQB917557:JQB917586 JZX917557:JZX917586 KJT917557:KJT917586 KTP917557:KTP917586 LDL917557:LDL917586 LNH917557:LNH917586 LXD917557:LXD917586 MGZ917557:MGZ917586 MQV917557:MQV917586 NAR917557:NAR917586 NKN917557:NKN917586 NUJ917557:NUJ917586 OEF917557:OEF917586 OOB917557:OOB917586 OXX917557:OXX917586 PHT917557:PHT917586 PRP917557:PRP917586 QBL917557:QBL917586 QLH917557:QLH917586 QVD917557:QVD917586 REZ917557:REZ917586 ROV917557:ROV917586 RYR917557:RYR917586 SIN917557:SIN917586 SSJ917557:SSJ917586 TCF917557:TCF917586 TMB917557:TMB917586 TVX917557:TVX917586 UFT917557:UFT917586 UPP917557:UPP917586 UZL917557:UZL917586 VJH917557:VJH917586 VTD917557:VTD917586 WCZ917557:WCZ917586 WMV917557:WMV917586 AJ983093:AJ983122 KF983093:KF983122 UB983093:UB983122 ADX983093:ADX983122 ANT983093:ANT983122 AXP983093:AXP983122 BHL983093:BHL983122 BRH983093:BRH983122 CBD983093:CBD983122 CKZ983093:CKZ983122 CUV983093:CUV983122 DER983093:DER983122 DON983093:DON983122 DYJ983093:DYJ983122 EIF983093:EIF983122 ESB983093:ESB983122 FBX983093:FBX983122 FLT983093:FLT983122 FVP983093:FVP983122 GFL983093:GFL983122 GPH983093:GPH983122 GZD983093:GZD983122 HIZ983093:HIZ983122 HSV983093:HSV983122 ICR983093:ICR983122 IMN983093:IMN983122 IWJ983093:IWJ983122 JGF983093:JGF983122 JQB983093:JQB983122 JZX983093:JZX983122 KJT983093:KJT983122 KTP983093:KTP983122 LDL983093:LDL983122 LNH983093:LNH983122 LXD983093:LXD983122 MGZ983093:MGZ983122 MQV983093:MQV983122 NAR983093:NAR983122 NKN983093:NKN983122 NUJ983093:NUJ983122 OEF983093:OEF983122 OOB983093:OOB983122 OXX983093:OXX983122 PHT983093:PHT983122 PRP983093:PRP983122 QBL983093:QBL983122 QLH983093:QLH983122 QVD983093:QVD983122 REZ983093:REZ983122 ROV983093:ROV983122 RYR983093:RYR983122 SIN983093:SIN983122 SSJ983093:SSJ983122 TCF983093:TCF983122 TMB983093:TMB983122 TVX983093:TVX983122 UFT983093:UFT983122 UPP983093:UPP983122 UZL983093:UZL983122 VJH983093:VJH983122 VTD983093:VTD983122 WCZ983093:WCZ983122 T10 T13 T22 T16 T19 AF6:AF86 KB6:KB86 TX6:TX86 ADT6:ADT86 ANP6:ANP86 AXL6:AXL86 BHH6:BHH86 BRD6:BRD86 CAZ6:CAZ86 CKV6:CKV86 CUR6:CUR86 DEN6:DEN86 DOJ6:DOJ86 DYF6:DYF86 EIB6:EIB86 ERX6:ERX86 FBT6:FBT86 FLP6:FLP86 FVL6:FVL86 GFH6:GFH86 GPD6:GPD86 GYZ6:GYZ86 HIV6:HIV86 HSR6:HSR86 ICN6:ICN86 IMJ6:IMJ86 IWF6:IWF86 JGB6:JGB86 JPX6:JPX86 JZT6:JZT86 KJP6:KJP86 KTL6:KTL86 LDH6:LDH86 LND6:LND86 LWZ6:LWZ86 MGV6:MGV86 MQR6:MQR86 NAN6:NAN86 NKJ6:NKJ86 NUF6:NUF86 OEB6:OEB86 ONX6:ONX86 OXT6:OXT86 PHP6:PHP86 PRL6:PRL86 QBH6:QBH86 QLD6:QLD86 QUZ6:QUZ86 REV6:REV86 ROR6:ROR86 RYN6:RYN86 SIJ6:SIJ86 SSF6:SSF86 TCB6:TCB86 TLX6:TLX86 TVT6:TVT86 UFP6:UFP86 UPL6:UPL86 UZH6:UZH86 VJD6:VJD86 WMR6:WMR86 VSZ6:VSZ86 WCV6:WCV86" xr:uid="{855F6B68-028B-4980-B22A-8A39AD64CF66}">
      <formula1>"สมเด็จ, มานพ, นิคม, คลองเตย,"</formula1>
    </dataValidation>
    <dataValidation type="list" allowBlank="1" showInputMessage="1" showErrorMessage="1" sqref="WMU983093:WMU983122 AI65589:AI65618 KE65589:KE65618 UA65589:UA65618 ADW65589:ADW65618 ANS65589:ANS65618 AXO65589:AXO65618 BHK65589:BHK65618 BRG65589:BRG65618 CBC65589:CBC65618 CKY65589:CKY65618 CUU65589:CUU65618 DEQ65589:DEQ65618 DOM65589:DOM65618 DYI65589:DYI65618 EIE65589:EIE65618 ESA65589:ESA65618 FBW65589:FBW65618 FLS65589:FLS65618 FVO65589:FVO65618 GFK65589:GFK65618 GPG65589:GPG65618 GZC65589:GZC65618 HIY65589:HIY65618 HSU65589:HSU65618 ICQ65589:ICQ65618 IMM65589:IMM65618 IWI65589:IWI65618 JGE65589:JGE65618 JQA65589:JQA65618 JZW65589:JZW65618 KJS65589:KJS65618 KTO65589:KTO65618 LDK65589:LDK65618 LNG65589:LNG65618 LXC65589:LXC65618 MGY65589:MGY65618 MQU65589:MQU65618 NAQ65589:NAQ65618 NKM65589:NKM65618 NUI65589:NUI65618 OEE65589:OEE65618 OOA65589:OOA65618 OXW65589:OXW65618 PHS65589:PHS65618 PRO65589:PRO65618 QBK65589:QBK65618 QLG65589:QLG65618 QVC65589:QVC65618 REY65589:REY65618 ROU65589:ROU65618 RYQ65589:RYQ65618 SIM65589:SIM65618 SSI65589:SSI65618 TCE65589:TCE65618 TMA65589:TMA65618 TVW65589:TVW65618 UFS65589:UFS65618 UPO65589:UPO65618 UZK65589:UZK65618 VJG65589:VJG65618 VTC65589:VTC65618 WCY65589:WCY65618 WMU65589:WMU65618 AI131125:AI131154 KE131125:KE131154 UA131125:UA131154 ADW131125:ADW131154 ANS131125:ANS131154 AXO131125:AXO131154 BHK131125:BHK131154 BRG131125:BRG131154 CBC131125:CBC131154 CKY131125:CKY131154 CUU131125:CUU131154 DEQ131125:DEQ131154 DOM131125:DOM131154 DYI131125:DYI131154 EIE131125:EIE131154 ESA131125:ESA131154 FBW131125:FBW131154 FLS131125:FLS131154 FVO131125:FVO131154 GFK131125:GFK131154 GPG131125:GPG131154 GZC131125:GZC131154 HIY131125:HIY131154 HSU131125:HSU131154 ICQ131125:ICQ131154 IMM131125:IMM131154 IWI131125:IWI131154 JGE131125:JGE131154 JQA131125:JQA131154 JZW131125:JZW131154 KJS131125:KJS131154 KTO131125:KTO131154 LDK131125:LDK131154 LNG131125:LNG131154 LXC131125:LXC131154 MGY131125:MGY131154 MQU131125:MQU131154 NAQ131125:NAQ131154 NKM131125:NKM131154 NUI131125:NUI131154 OEE131125:OEE131154 OOA131125:OOA131154 OXW131125:OXW131154 PHS131125:PHS131154 PRO131125:PRO131154 QBK131125:QBK131154 QLG131125:QLG131154 QVC131125:QVC131154 REY131125:REY131154 ROU131125:ROU131154 RYQ131125:RYQ131154 SIM131125:SIM131154 SSI131125:SSI131154 TCE131125:TCE131154 TMA131125:TMA131154 TVW131125:TVW131154 UFS131125:UFS131154 UPO131125:UPO131154 UZK131125:UZK131154 VJG131125:VJG131154 VTC131125:VTC131154 WCY131125:WCY131154 WMU131125:WMU131154 AI196661:AI196690 KE196661:KE196690 UA196661:UA196690 ADW196661:ADW196690 ANS196661:ANS196690 AXO196661:AXO196690 BHK196661:BHK196690 BRG196661:BRG196690 CBC196661:CBC196690 CKY196661:CKY196690 CUU196661:CUU196690 DEQ196661:DEQ196690 DOM196661:DOM196690 DYI196661:DYI196690 EIE196661:EIE196690 ESA196661:ESA196690 FBW196661:FBW196690 FLS196661:FLS196690 FVO196661:FVO196690 GFK196661:GFK196690 GPG196661:GPG196690 GZC196661:GZC196690 HIY196661:HIY196690 HSU196661:HSU196690 ICQ196661:ICQ196690 IMM196661:IMM196690 IWI196661:IWI196690 JGE196661:JGE196690 JQA196661:JQA196690 JZW196661:JZW196690 KJS196661:KJS196690 KTO196661:KTO196690 LDK196661:LDK196690 LNG196661:LNG196690 LXC196661:LXC196690 MGY196661:MGY196690 MQU196661:MQU196690 NAQ196661:NAQ196690 NKM196661:NKM196690 NUI196661:NUI196690 OEE196661:OEE196690 OOA196661:OOA196690 OXW196661:OXW196690 PHS196661:PHS196690 PRO196661:PRO196690 QBK196661:QBK196690 QLG196661:QLG196690 QVC196661:QVC196690 REY196661:REY196690 ROU196661:ROU196690 RYQ196661:RYQ196690 SIM196661:SIM196690 SSI196661:SSI196690 TCE196661:TCE196690 TMA196661:TMA196690 TVW196661:TVW196690 UFS196661:UFS196690 UPO196661:UPO196690 UZK196661:UZK196690 VJG196661:VJG196690 VTC196661:VTC196690 WCY196661:WCY196690 WMU196661:WMU196690 AI262197:AI262226 KE262197:KE262226 UA262197:UA262226 ADW262197:ADW262226 ANS262197:ANS262226 AXO262197:AXO262226 BHK262197:BHK262226 BRG262197:BRG262226 CBC262197:CBC262226 CKY262197:CKY262226 CUU262197:CUU262226 DEQ262197:DEQ262226 DOM262197:DOM262226 DYI262197:DYI262226 EIE262197:EIE262226 ESA262197:ESA262226 FBW262197:FBW262226 FLS262197:FLS262226 FVO262197:FVO262226 GFK262197:GFK262226 GPG262197:GPG262226 GZC262197:GZC262226 HIY262197:HIY262226 HSU262197:HSU262226 ICQ262197:ICQ262226 IMM262197:IMM262226 IWI262197:IWI262226 JGE262197:JGE262226 JQA262197:JQA262226 JZW262197:JZW262226 KJS262197:KJS262226 KTO262197:KTO262226 LDK262197:LDK262226 LNG262197:LNG262226 LXC262197:LXC262226 MGY262197:MGY262226 MQU262197:MQU262226 NAQ262197:NAQ262226 NKM262197:NKM262226 NUI262197:NUI262226 OEE262197:OEE262226 OOA262197:OOA262226 OXW262197:OXW262226 PHS262197:PHS262226 PRO262197:PRO262226 QBK262197:QBK262226 QLG262197:QLG262226 QVC262197:QVC262226 REY262197:REY262226 ROU262197:ROU262226 RYQ262197:RYQ262226 SIM262197:SIM262226 SSI262197:SSI262226 TCE262197:TCE262226 TMA262197:TMA262226 TVW262197:TVW262226 UFS262197:UFS262226 UPO262197:UPO262226 UZK262197:UZK262226 VJG262197:VJG262226 VTC262197:VTC262226 WCY262197:WCY262226 WMU262197:WMU262226 AI327733:AI327762 KE327733:KE327762 UA327733:UA327762 ADW327733:ADW327762 ANS327733:ANS327762 AXO327733:AXO327762 BHK327733:BHK327762 BRG327733:BRG327762 CBC327733:CBC327762 CKY327733:CKY327762 CUU327733:CUU327762 DEQ327733:DEQ327762 DOM327733:DOM327762 DYI327733:DYI327762 EIE327733:EIE327762 ESA327733:ESA327762 FBW327733:FBW327762 FLS327733:FLS327762 FVO327733:FVO327762 GFK327733:GFK327762 GPG327733:GPG327762 GZC327733:GZC327762 HIY327733:HIY327762 HSU327733:HSU327762 ICQ327733:ICQ327762 IMM327733:IMM327762 IWI327733:IWI327762 JGE327733:JGE327762 JQA327733:JQA327762 JZW327733:JZW327762 KJS327733:KJS327762 KTO327733:KTO327762 LDK327733:LDK327762 LNG327733:LNG327762 LXC327733:LXC327762 MGY327733:MGY327762 MQU327733:MQU327762 NAQ327733:NAQ327762 NKM327733:NKM327762 NUI327733:NUI327762 OEE327733:OEE327762 OOA327733:OOA327762 OXW327733:OXW327762 PHS327733:PHS327762 PRO327733:PRO327762 QBK327733:QBK327762 QLG327733:QLG327762 QVC327733:QVC327762 REY327733:REY327762 ROU327733:ROU327762 RYQ327733:RYQ327762 SIM327733:SIM327762 SSI327733:SSI327762 TCE327733:TCE327762 TMA327733:TMA327762 TVW327733:TVW327762 UFS327733:UFS327762 UPO327733:UPO327762 UZK327733:UZK327762 VJG327733:VJG327762 VTC327733:VTC327762 WCY327733:WCY327762 WMU327733:WMU327762 AI393269:AI393298 KE393269:KE393298 UA393269:UA393298 ADW393269:ADW393298 ANS393269:ANS393298 AXO393269:AXO393298 BHK393269:BHK393298 BRG393269:BRG393298 CBC393269:CBC393298 CKY393269:CKY393298 CUU393269:CUU393298 DEQ393269:DEQ393298 DOM393269:DOM393298 DYI393269:DYI393298 EIE393269:EIE393298 ESA393269:ESA393298 FBW393269:FBW393298 FLS393269:FLS393298 FVO393269:FVO393298 GFK393269:GFK393298 GPG393269:GPG393298 GZC393269:GZC393298 HIY393269:HIY393298 HSU393269:HSU393298 ICQ393269:ICQ393298 IMM393269:IMM393298 IWI393269:IWI393298 JGE393269:JGE393298 JQA393269:JQA393298 JZW393269:JZW393298 KJS393269:KJS393298 KTO393269:KTO393298 LDK393269:LDK393298 LNG393269:LNG393298 LXC393269:LXC393298 MGY393269:MGY393298 MQU393269:MQU393298 NAQ393269:NAQ393298 NKM393269:NKM393298 NUI393269:NUI393298 OEE393269:OEE393298 OOA393269:OOA393298 OXW393269:OXW393298 PHS393269:PHS393298 PRO393269:PRO393298 QBK393269:QBK393298 QLG393269:QLG393298 QVC393269:QVC393298 REY393269:REY393298 ROU393269:ROU393298 RYQ393269:RYQ393298 SIM393269:SIM393298 SSI393269:SSI393298 TCE393269:TCE393298 TMA393269:TMA393298 TVW393269:TVW393298 UFS393269:UFS393298 UPO393269:UPO393298 UZK393269:UZK393298 VJG393269:VJG393298 VTC393269:VTC393298 WCY393269:WCY393298 WMU393269:WMU393298 AI458805:AI458834 KE458805:KE458834 UA458805:UA458834 ADW458805:ADW458834 ANS458805:ANS458834 AXO458805:AXO458834 BHK458805:BHK458834 BRG458805:BRG458834 CBC458805:CBC458834 CKY458805:CKY458834 CUU458805:CUU458834 DEQ458805:DEQ458834 DOM458805:DOM458834 DYI458805:DYI458834 EIE458805:EIE458834 ESA458805:ESA458834 FBW458805:FBW458834 FLS458805:FLS458834 FVO458805:FVO458834 GFK458805:GFK458834 GPG458805:GPG458834 GZC458805:GZC458834 HIY458805:HIY458834 HSU458805:HSU458834 ICQ458805:ICQ458834 IMM458805:IMM458834 IWI458805:IWI458834 JGE458805:JGE458834 JQA458805:JQA458834 JZW458805:JZW458834 KJS458805:KJS458834 KTO458805:KTO458834 LDK458805:LDK458834 LNG458805:LNG458834 LXC458805:LXC458834 MGY458805:MGY458834 MQU458805:MQU458834 NAQ458805:NAQ458834 NKM458805:NKM458834 NUI458805:NUI458834 OEE458805:OEE458834 OOA458805:OOA458834 OXW458805:OXW458834 PHS458805:PHS458834 PRO458805:PRO458834 QBK458805:QBK458834 QLG458805:QLG458834 QVC458805:QVC458834 REY458805:REY458834 ROU458805:ROU458834 RYQ458805:RYQ458834 SIM458805:SIM458834 SSI458805:SSI458834 TCE458805:TCE458834 TMA458805:TMA458834 TVW458805:TVW458834 UFS458805:UFS458834 UPO458805:UPO458834 UZK458805:UZK458834 VJG458805:VJG458834 VTC458805:VTC458834 WCY458805:WCY458834 WMU458805:WMU458834 AI524341:AI524370 KE524341:KE524370 UA524341:UA524370 ADW524341:ADW524370 ANS524341:ANS524370 AXO524341:AXO524370 BHK524341:BHK524370 BRG524341:BRG524370 CBC524341:CBC524370 CKY524341:CKY524370 CUU524341:CUU524370 DEQ524341:DEQ524370 DOM524341:DOM524370 DYI524341:DYI524370 EIE524341:EIE524370 ESA524341:ESA524370 FBW524341:FBW524370 FLS524341:FLS524370 FVO524341:FVO524370 GFK524341:GFK524370 GPG524341:GPG524370 GZC524341:GZC524370 HIY524341:HIY524370 HSU524341:HSU524370 ICQ524341:ICQ524370 IMM524341:IMM524370 IWI524341:IWI524370 JGE524341:JGE524370 JQA524341:JQA524370 JZW524341:JZW524370 KJS524341:KJS524370 KTO524341:KTO524370 LDK524341:LDK524370 LNG524341:LNG524370 LXC524341:LXC524370 MGY524341:MGY524370 MQU524341:MQU524370 NAQ524341:NAQ524370 NKM524341:NKM524370 NUI524341:NUI524370 OEE524341:OEE524370 OOA524341:OOA524370 OXW524341:OXW524370 PHS524341:PHS524370 PRO524341:PRO524370 QBK524341:QBK524370 QLG524341:QLG524370 QVC524341:QVC524370 REY524341:REY524370 ROU524341:ROU524370 RYQ524341:RYQ524370 SIM524341:SIM524370 SSI524341:SSI524370 TCE524341:TCE524370 TMA524341:TMA524370 TVW524341:TVW524370 UFS524341:UFS524370 UPO524341:UPO524370 UZK524341:UZK524370 VJG524341:VJG524370 VTC524341:VTC524370 WCY524341:WCY524370 WMU524341:WMU524370 AI589877:AI589906 KE589877:KE589906 UA589877:UA589906 ADW589877:ADW589906 ANS589877:ANS589906 AXO589877:AXO589906 BHK589877:BHK589906 BRG589877:BRG589906 CBC589877:CBC589906 CKY589877:CKY589906 CUU589877:CUU589906 DEQ589877:DEQ589906 DOM589877:DOM589906 DYI589877:DYI589906 EIE589877:EIE589906 ESA589877:ESA589906 FBW589877:FBW589906 FLS589877:FLS589906 FVO589877:FVO589906 GFK589877:GFK589906 GPG589877:GPG589906 GZC589877:GZC589906 HIY589877:HIY589906 HSU589877:HSU589906 ICQ589877:ICQ589906 IMM589877:IMM589906 IWI589877:IWI589906 JGE589877:JGE589906 JQA589877:JQA589906 JZW589877:JZW589906 KJS589877:KJS589906 KTO589877:KTO589906 LDK589877:LDK589906 LNG589877:LNG589906 LXC589877:LXC589906 MGY589877:MGY589906 MQU589877:MQU589906 NAQ589877:NAQ589906 NKM589877:NKM589906 NUI589877:NUI589906 OEE589877:OEE589906 OOA589877:OOA589906 OXW589877:OXW589906 PHS589877:PHS589906 PRO589877:PRO589906 QBK589877:QBK589906 QLG589877:QLG589906 QVC589877:QVC589906 REY589877:REY589906 ROU589877:ROU589906 RYQ589877:RYQ589906 SIM589877:SIM589906 SSI589877:SSI589906 TCE589877:TCE589906 TMA589877:TMA589906 TVW589877:TVW589906 UFS589877:UFS589906 UPO589877:UPO589906 UZK589877:UZK589906 VJG589877:VJG589906 VTC589877:VTC589906 WCY589877:WCY589906 WMU589877:WMU589906 AI655413:AI655442 KE655413:KE655442 UA655413:UA655442 ADW655413:ADW655442 ANS655413:ANS655442 AXO655413:AXO655442 BHK655413:BHK655442 BRG655413:BRG655442 CBC655413:CBC655442 CKY655413:CKY655442 CUU655413:CUU655442 DEQ655413:DEQ655442 DOM655413:DOM655442 DYI655413:DYI655442 EIE655413:EIE655442 ESA655413:ESA655442 FBW655413:FBW655442 FLS655413:FLS655442 FVO655413:FVO655442 GFK655413:GFK655442 GPG655413:GPG655442 GZC655413:GZC655442 HIY655413:HIY655442 HSU655413:HSU655442 ICQ655413:ICQ655442 IMM655413:IMM655442 IWI655413:IWI655442 JGE655413:JGE655442 JQA655413:JQA655442 JZW655413:JZW655442 KJS655413:KJS655442 KTO655413:KTO655442 LDK655413:LDK655442 LNG655413:LNG655442 LXC655413:LXC655442 MGY655413:MGY655442 MQU655413:MQU655442 NAQ655413:NAQ655442 NKM655413:NKM655442 NUI655413:NUI655442 OEE655413:OEE655442 OOA655413:OOA655442 OXW655413:OXW655442 PHS655413:PHS655442 PRO655413:PRO655442 QBK655413:QBK655442 QLG655413:QLG655442 QVC655413:QVC655442 REY655413:REY655442 ROU655413:ROU655442 RYQ655413:RYQ655442 SIM655413:SIM655442 SSI655413:SSI655442 TCE655413:TCE655442 TMA655413:TMA655442 TVW655413:TVW655442 UFS655413:UFS655442 UPO655413:UPO655442 UZK655413:UZK655442 VJG655413:VJG655442 VTC655413:VTC655442 WCY655413:WCY655442 WMU655413:WMU655442 AI720949:AI720978 KE720949:KE720978 UA720949:UA720978 ADW720949:ADW720978 ANS720949:ANS720978 AXO720949:AXO720978 BHK720949:BHK720978 BRG720949:BRG720978 CBC720949:CBC720978 CKY720949:CKY720978 CUU720949:CUU720978 DEQ720949:DEQ720978 DOM720949:DOM720978 DYI720949:DYI720978 EIE720949:EIE720978 ESA720949:ESA720978 FBW720949:FBW720978 FLS720949:FLS720978 FVO720949:FVO720978 GFK720949:GFK720978 GPG720949:GPG720978 GZC720949:GZC720978 HIY720949:HIY720978 HSU720949:HSU720978 ICQ720949:ICQ720978 IMM720949:IMM720978 IWI720949:IWI720978 JGE720949:JGE720978 JQA720949:JQA720978 JZW720949:JZW720978 KJS720949:KJS720978 KTO720949:KTO720978 LDK720949:LDK720978 LNG720949:LNG720978 LXC720949:LXC720978 MGY720949:MGY720978 MQU720949:MQU720978 NAQ720949:NAQ720978 NKM720949:NKM720978 NUI720949:NUI720978 OEE720949:OEE720978 OOA720949:OOA720978 OXW720949:OXW720978 PHS720949:PHS720978 PRO720949:PRO720978 QBK720949:QBK720978 QLG720949:QLG720978 QVC720949:QVC720978 REY720949:REY720978 ROU720949:ROU720978 RYQ720949:RYQ720978 SIM720949:SIM720978 SSI720949:SSI720978 TCE720949:TCE720978 TMA720949:TMA720978 TVW720949:TVW720978 UFS720949:UFS720978 UPO720949:UPO720978 UZK720949:UZK720978 VJG720949:VJG720978 VTC720949:VTC720978 WCY720949:WCY720978 WMU720949:WMU720978 AI786485:AI786514 KE786485:KE786514 UA786485:UA786514 ADW786485:ADW786514 ANS786485:ANS786514 AXO786485:AXO786514 BHK786485:BHK786514 BRG786485:BRG786514 CBC786485:CBC786514 CKY786485:CKY786514 CUU786485:CUU786514 DEQ786485:DEQ786514 DOM786485:DOM786514 DYI786485:DYI786514 EIE786485:EIE786514 ESA786485:ESA786514 FBW786485:FBW786514 FLS786485:FLS786514 FVO786485:FVO786514 GFK786485:GFK786514 GPG786485:GPG786514 GZC786485:GZC786514 HIY786485:HIY786514 HSU786485:HSU786514 ICQ786485:ICQ786514 IMM786485:IMM786514 IWI786485:IWI786514 JGE786485:JGE786514 JQA786485:JQA786514 JZW786485:JZW786514 KJS786485:KJS786514 KTO786485:KTO786514 LDK786485:LDK786514 LNG786485:LNG786514 LXC786485:LXC786514 MGY786485:MGY786514 MQU786485:MQU786514 NAQ786485:NAQ786514 NKM786485:NKM786514 NUI786485:NUI786514 OEE786485:OEE786514 OOA786485:OOA786514 OXW786485:OXW786514 PHS786485:PHS786514 PRO786485:PRO786514 QBK786485:QBK786514 QLG786485:QLG786514 QVC786485:QVC786514 REY786485:REY786514 ROU786485:ROU786514 RYQ786485:RYQ786514 SIM786485:SIM786514 SSI786485:SSI786514 TCE786485:TCE786514 TMA786485:TMA786514 TVW786485:TVW786514 UFS786485:UFS786514 UPO786485:UPO786514 UZK786485:UZK786514 VJG786485:VJG786514 VTC786485:VTC786514 WCY786485:WCY786514 WMU786485:WMU786514 AI852021:AI852050 KE852021:KE852050 UA852021:UA852050 ADW852021:ADW852050 ANS852021:ANS852050 AXO852021:AXO852050 BHK852021:BHK852050 BRG852021:BRG852050 CBC852021:CBC852050 CKY852021:CKY852050 CUU852021:CUU852050 DEQ852021:DEQ852050 DOM852021:DOM852050 DYI852021:DYI852050 EIE852021:EIE852050 ESA852021:ESA852050 FBW852021:FBW852050 FLS852021:FLS852050 FVO852021:FVO852050 GFK852021:GFK852050 GPG852021:GPG852050 GZC852021:GZC852050 HIY852021:HIY852050 HSU852021:HSU852050 ICQ852021:ICQ852050 IMM852021:IMM852050 IWI852021:IWI852050 JGE852021:JGE852050 JQA852021:JQA852050 JZW852021:JZW852050 KJS852021:KJS852050 KTO852021:KTO852050 LDK852021:LDK852050 LNG852021:LNG852050 LXC852021:LXC852050 MGY852021:MGY852050 MQU852021:MQU852050 NAQ852021:NAQ852050 NKM852021:NKM852050 NUI852021:NUI852050 OEE852021:OEE852050 OOA852021:OOA852050 OXW852021:OXW852050 PHS852021:PHS852050 PRO852021:PRO852050 QBK852021:QBK852050 QLG852021:QLG852050 QVC852021:QVC852050 REY852021:REY852050 ROU852021:ROU852050 RYQ852021:RYQ852050 SIM852021:SIM852050 SSI852021:SSI852050 TCE852021:TCE852050 TMA852021:TMA852050 TVW852021:TVW852050 UFS852021:UFS852050 UPO852021:UPO852050 UZK852021:UZK852050 VJG852021:VJG852050 VTC852021:VTC852050 WCY852021:WCY852050 WMU852021:WMU852050 AI917557:AI917586 KE917557:KE917586 UA917557:UA917586 ADW917557:ADW917586 ANS917557:ANS917586 AXO917557:AXO917586 BHK917557:BHK917586 BRG917557:BRG917586 CBC917557:CBC917586 CKY917557:CKY917586 CUU917557:CUU917586 DEQ917557:DEQ917586 DOM917557:DOM917586 DYI917557:DYI917586 EIE917557:EIE917586 ESA917557:ESA917586 FBW917557:FBW917586 FLS917557:FLS917586 FVO917557:FVO917586 GFK917557:GFK917586 GPG917557:GPG917586 GZC917557:GZC917586 HIY917557:HIY917586 HSU917557:HSU917586 ICQ917557:ICQ917586 IMM917557:IMM917586 IWI917557:IWI917586 JGE917557:JGE917586 JQA917557:JQA917586 JZW917557:JZW917586 KJS917557:KJS917586 KTO917557:KTO917586 LDK917557:LDK917586 LNG917557:LNG917586 LXC917557:LXC917586 MGY917557:MGY917586 MQU917557:MQU917586 NAQ917557:NAQ917586 NKM917557:NKM917586 NUI917557:NUI917586 OEE917557:OEE917586 OOA917557:OOA917586 OXW917557:OXW917586 PHS917557:PHS917586 PRO917557:PRO917586 QBK917557:QBK917586 QLG917557:QLG917586 QVC917557:QVC917586 REY917557:REY917586 ROU917557:ROU917586 RYQ917557:RYQ917586 SIM917557:SIM917586 SSI917557:SSI917586 TCE917557:TCE917586 TMA917557:TMA917586 TVW917557:TVW917586 UFS917557:UFS917586 UPO917557:UPO917586 UZK917557:UZK917586 VJG917557:VJG917586 VTC917557:VTC917586 WCY917557:WCY917586 WMU917557:WMU917586 AI983093:AI983122 KE983093:KE983122 UA983093:UA983122 ADW983093:ADW983122 ANS983093:ANS983122 AXO983093:AXO983122 BHK983093:BHK983122 BRG983093:BRG983122 CBC983093:CBC983122 CKY983093:CKY983122 CUU983093:CUU983122 DEQ983093:DEQ983122 DOM983093:DOM983122 DYI983093:DYI983122 EIE983093:EIE983122 ESA983093:ESA983122 FBW983093:FBW983122 FLS983093:FLS983122 FVO983093:FVO983122 GFK983093:GFK983122 GPG983093:GPG983122 GZC983093:GZC983122 HIY983093:HIY983122 HSU983093:HSU983122 ICQ983093:ICQ983122 IMM983093:IMM983122 IWI983093:IWI983122 JGE983093:JGE983122 JQA983093:JQA983122 JZW983093:JZW983122 KJS983093:KJS983122 KTO983093:KTO983122 LDK983093:LDK983122 LNG983093:LNG983122 LXC983093:LXC983122 MGY983093:MGY983122 MQU983093:MQU983122 NAQ983093:NAQ983122 NKM983093:NKM983122 NUI983093:NUI983122 OEE983093:OEE983122 OOA983093:OOA983122 OXW983093:OXW983122 PHS983093:PHS983122 PRO983093:PRO983122 QBK983093:QBK983122 QLG983093:QLG983122 QVC983093:QVC983122 REY983093:REY983122 ROU983093:ROU983122 RYQ983093:RYQ983122 SIM983093:SIM983122 SSI983093:SSI983122 TCE983093:TCE983122 TMA983093:TMA983122 TVW983093:TVW983122 UFS983093:UFS983122 UPO983093:UPO983122 UZK983093:UZK983122 VJG983093:VJG983122 VTC983093:VTC983122 WCY983093:WCY983122 WMQ6:WMQ86 AE6:AE86 KA6:KA86 TW6:TW86 ADS6:ADS86 ANO6:ANO86 AXK6:AXK86 BHG6:BHG86 BRC6:BRC86 CAY6:CAY86 CKU6:CKU86 CUQ6:CUQ86 DEM6:DEM86 DOI6:DOI86 DYE6:DYE86 EIA6:EIA86 ERW6:ERW86 FBS6:FBS86 FLO6:FLO86 FVK6:FVK86 GFG6:GFG86 GPC6:GPC86 GYY6:GYY86 HIU6:HIU86 HSQ6:HSQ86 ICM6:ICM86 IMI6:IMI86 IWE6:IWE86 JGA6:JGA86 JPW6:JPW86 JZS6:JZS86 KJO6:KJO86 KTK6:KTK86 LDG6:LDG86 LNC6:LNC86 LWY6:LWY86 MGU6:MGU86 MQQ6:MQQ86 NAM6:NAM86 NKI6:NKI86 NUE6:NUE86 OEA6:OEA86 ONW6:ONW86 OXS6:OXS86 PHO6:PHO86 PRK6:PRK86 QBG6:QBG86 QLC6:QLC86 QUY6:QUY86 REU6:REU86 ROQ6:ROQ86 RYM6:RYM86 SII6:SII86 SSE6:SSE86 TCA6:TCA86 TLW6:TLW86 TVS6:TVS86 UFO6:UFO86 UPK6:UPK86 UZG6:UZG86 VJC6:VJC86 VSY6:VSY86 WCU6:WCU86" xr:uid="{838E78F2-783C-433A-B3B0-B785667219EB}">
      <formula1>"จันทราภรณ์, รัฏฏิการ์, คชเขม, มาร์ค,สมเด็"</formula1>
    </dataValidation>
  </dataValidations>
  <printOptions horizontalCentered="1"/>
  <pageMargins left="0.23622047244094491" right="0.11811023622047245" top="0.39370078740157483" bottom="0.23622047244094491" header="0.39370078740157483" footer="0.31496062992125984"/>
  <pageSetup paperSize="9" scale="35" fitToHeight="2" orientation="landscape" r:id="rId1"/>
  <headerFooter alignWithMargins="0"/>
  <ignoredErrors>
    <ignoredError sqref="Q8:R8 I87 L7:N8 L85:M86 L39:M41 L84:N84 L42:L47 Q84 Q42:Q47 L48:L50 L30:L32 L27:L29 L33 N42:N47 N48:N50 L24:L26 U87 F87 J87:N87 M24:N26 M33:N33 M27:N29 M30:N32 Q30:Q32 M34:Q34 O32:P32 Q28:Q29 O33:Q33 Q24:Q26 Q27 L6:M6 Q7" unlockedFormula="1"/>
  </ignoredErrors>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6894635A-EA7B-4FE7-A357-6720A2125EAD}">
          <x14:formula1>
            <xm:f>Ref!$C$2:$C$20</xm:f>
          </x14:formula1>
          <xm:sqref>E30 E66 E45 E21 E27 E33 E42 E36 E39 E84 E6 E48 E51 E54 E57 E81 E69 E78 E72 E63 E15 E9 E18 E12 E24</xm:sqref>
        </x14:dataValidation>
        <x14:dataValidation type="list" allowBlank="1" showInputMessage="1" showErrorMessage="1" xr:uid="{D2C2E0C5-3CB3-4E5C-9E2F-FCA3509FDCD7}">
          <x14:formula1>
            <xm:f>Ref!$B$2:$B$21</xm:f>
          </x14:formula1>
          <xm:sqref>D84 D21 D15 D9 D12 D18 D63 D72 D78 D69 D81 D57 D54 D51 D48 D45 D42 D6 D36 D30 D33 D24 D27 D39 D66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736E2-5906-4F5B-9831-185895FA3729}">
  <sheetPr codeName="Sheet4">
    <tabColor rgb="FF92D050"/>
    <pageSetUpPr fitToPage="1"/>
  </sheetPr>
  <dimension ref="A1:WVZ190"/>
  <sheetViews>
    <sheetView zoomScale="80" zoomScaleNormal="80" workbookViewId="0">
      <selection activeCell="J12" sqref="J12"/>
    </sheetView>
  </sheetViews>
  <sheetFormatPr defaultColWidth="0" defaultRowHeight="0" customHeight="1" zeroHeight="1"/>
  <cols>
    <col min="1" max="1" width="6.88671875" style="69" customWidth="1"/>
    <col min="2" max="2" width="20.77734375" style="69" customWidth="1"/>
    <col min="3" max="3" width="27.44140625" style="69" bestFit="1" customWidth="1"/>
    <col min="4" max="4" width="29" style="69" customWidth="1"/>
    <col min="5" max="5" width="15.88671875" style="78" bestFit="1" customWidth="1"/>
    <col min="6" max="6" width="15.88671875" style="78" customWidth="1"/>
    <col min="7" max="7" width="16.5546875" style="78" bestFit="1" customWidth="1"/>
    <col min="8" max="8" width="15.88671875" style="78" customWidth="1"/>
    <col min="9" max="9" width="15.33203125" style="78" customWidth="1"/>
    <col min="10" max="10" width="14.6640625" style="69" customWidth="1"/>
    <col min="11" max="11" width="20.77734375" style="69" customWidth="1"/>
    <col min="12" max="12" width="11.77734375" style="69" customWidth="1"/>
    <col min="13" max="13" width="14.88671875" style="69" customWidth="1"/>
    <col min="14" max="16" width="8" style="69" customWidth="1"/>
    <col min="17" max="256" width="9.109375" style="69" hidden="1"/>
    <col min="257" max="257" width="6.88671875" style="69" customWidth="1"/>
    <col min="258" max="258" width="23.33203125" style="69" customWidth="1"/>
    <col min="259" max="259" width="42.88671875" style="69" customWidth="1"/>
    <col min="260" max="260" width="14" style="69" customWidth="1"/>
    <col min="261" max="261" width="14.109375" style="69" customWidth="1"/>
    <col min="262" max="262" width="13" style="69" customWidth="1"/>
    <col min="263" max="263" width="14" style="69" customWidth="1"/>
    <col min="264" max="264" width="15" style="69" customWidth="1"/>
    <col min="265" max="265" width="15.21875" style="69" customWidth="1"/>
    <col min="266" max="266" width="1.88671875" style="69" customWidth="1"/>
    <col min="267" max="267" width="10.5546875" style="69" customWidth="1"/>
    <col min="268" max="272" width="8" style="69" customWidth="1"/>
    <col min="273" max="512" width="9.109375" style="69" hidden="1"/>
    <col min="513" max="513" width="6.88671875" style="69" customWidth="1"/>
    <col min="514" max="514" width="23.33203125" style="69" customWidth="1"/>
    <col min="515" max="515" width="42.88671875" style="69" customWidth="1"/>
    <col min="516" max="516" width="14" style="69" customWidth="1"/>
    <col min="517" max="517" width="14.109375" style="69" customWidth="1"/>
    <col min="518" max="518" width="13" style="69" customWidth="1"/>
    <col min="519" max="519" width="14" style="69" customWidth="1"/>
    <col min="520" max="520" width="15" style="69" customWidth="1"/>
    <col min="521" max="521" width="15.21875" style="69" customWidth="1"/>
    <col min="522" max="522" width="1.88671875" style="69" customWidth="1"/>
    <col min="523" max="523" width="10.5546875" style="69" customWidth="1"/>
    <col min="524" max="528" width="8" style="69" customWidth="1"/>
    <col min="529" max="768" width="9.109375" style="69" hidden="1"/>
    <col min="769" max="769" width="6.88671875" style="69" customWidth="1"/>
    <col min="770" max="770" width="23.33203125" style="69" customWidth="1"/>
    <col min="771" max="771" width="42.88671875" style="69" customWidth="1"/>
    <col min="772" max="772" width="14" style="69" customWidth="1"/>
    <col min="773" max="773" width="14.109375" style="69" customWidth="1"/>
    <col min="774" max="774" width="13" style="69" customWidth="1"/>
    <col min="775" max="775" width="14" style="69" customWidth="1"/>
    <col min="776" max="776" width="15" style="69" customWidth="1"/>
    <col min="777" max="777" width="15.21875" style="69" customWidth="1"/>
    <col min="778" max="778" width="1.88671875" style="69" customWidth="1"/>
    <col min="779" max="779" width="10.5546875" style="69" customWidth="1"/>
    <col min="780" max="784" width="8" style="69" customWidth="1"/>
    <col min="785" max="1024" width="9.109375" style="69" hidden="1"/>
    <col min="1025" max="1025" width="6.88671875" style="69" customWidth="1"/>
    <col min="1026" max="1026" width="23.33203125" style="69" customWidth="1"/>
    <col min="1027" max="1027" width="42.88671875" style="69" customWidth="1"/>
    <col min="1028" max="1028" width="14" style="69" customWidth="1"/>
    <col min="1029" max="1029" width="14.109375" style="69" customWidth="1"/>
    <col min="1030" max="1030" width="13" style="69" customWidth="1"/>
    <col min="1031" max="1031" width="14" style="69" customWidth="1"/>
    <col min="1032" max="1032" width="15" style="69" customWidth="1"/>
    <col min="1033" max="1033" width="15.21875" style="69" customWidth="1"/>
    <col min="1034" max="1034" width="1.88671875" style="69" customWidth="1"/>
    <col min="1035" max="1035" width="10.5546875" style="69" customWidth="1"/>
    <col min="1036" max="1040" width="8" style="69" customWidth="1"/>
    <col min="1041" max="1280" width="9.109375" style="69" hidden="1"/>
    <col min="1281" max="1281" width="6.88671875" style="69" customWidth="1"/>
    <col min="1282" max="1282" width="23.33203125" style="69" customWidth="1"/>
    <col min="1283" max="1283" width="42.88671875" style="69" customWidth="1"/>
    <col min="1284" max="1284" width="14" style="69" customWidth="1"/>
    <col min="1285" max="1285" width="14.109375" style="69" customWidth="1"/>
    <col min="1286" max="1286" width="13" style="69" customWidth="1"/>
    <col min="1287" max="1287" width="14" style="69" customWidth="1"/>
    <col min="1288" max="1288" width="15" style="69" customWidth="1"/>
    <col min="1289" max="1289" width="15.21875" style="69" customWidth="1"/>
    <col min="1290" max="1290" width="1.88671875" style="69" customWidth="1"/>
    <col min="1291" max="1291" width="10.5546875" style="69" customWidth="1"/>
    <col min="1292" max="1296" width="8" style="69" customWidth="1"/>
    <col min="1297" max="1536" width="9.109375" style="69" hidden="1"/>
    <col min="1537" max="1537" width="6.88671875" style="69" customWidth="1"/>
    <col min="1538" max="1538" width="23.33203125" style="69" customWidth="1"/>
    <col min="1539" max="1539" width="42.88671875" style="69" customWidth="1"/>
    <col min="1540" max="1540" width="14" style="69" customWidth="1"/>
    <col min="1541" max="1541" width="14.109375" style="69" customWidth="1"/>
    <col min="1542" max="1542" width="13" style="69" customWidth="1"/>
    <col min="1543" max="1543" width="14" style="69" customWidth="1"/>
    <col min="1544" max="1544" width="15" style="69" customWidth="1"/>
    <col min="1545" max="1545" width="15.21875" style="69" customWidth="1"/>
    <col min="1546" max="1546" width="1.88671875" style="69" customWidth="1"/>
    <col min="1547" max="1547" width="10.5546875" style="69" customWidth="1"/>
    <col min="1548" max="1552" width="8" style="69" customWidth="1"/>
    <col min="1553" max="1792" width="9.109375" style="69" hidden="1"/>
    <col min="1793" max="1793" width="6.88671875" style="69" customWidth="1"/>
    <col min="1794" max="1794" width="23.33203125" style="69" customWidth="1"/>
    <col min="1795" max="1795" width="42.88671875" style="69" customWidth="1"/>
    <col min="1796" max="1796" width="14" style="69" customWidth="1"/>
    <col min="1797" max="1797" width="14.109375" style="69" customWidth="1"/>
    <col min="1798" max="1798" width="13" style="69" customWidth="1"/>
    <col min="1799" max="1799" width="14" style="69" customWidth="1"/>
    <col min="1800" max="1800" width="15" style="69" customWidth="1"/>
    <col min="1801" max="1801" width="15.21875" style="69" customWidth="1"/>
    <col min="1802" max="1802" width="1.88671875" style="69" customWidth="1"/>
    <col min="1803" max="1803" width="10.5546875" style="69" customWidth="1"/>
    <col min="1804" max="1808" width="8" style="69" customWidth="1"/>
    <col min="1809" max="2048" width="9.109375" style="69" hidden="1"/>
    <col min="2049" max="2049" width="6.88671875" style="69" customWidth="1"/>
    <col min="2050" max="2050" width="23.33203125" style="69" customWidth="1"/>
    <col min="2051" max="2051" width="42.88671875" style="69" customWidth="1"/>
    <col min="2052" max="2052" width="14" style="69" customWidth="1"/>
    <col min="2053" max="2053" width="14.109375" style="69" customWidth="1"/>
    <col min="2054" max="2054" width="13" style="69" customWidth="1"/>
    <col min="2055" max="2055" width="14" style="69" customWidth="1"/>
    <col min="2056" max="2056" width="15" style="69" customWidth="1"/>
    <col min="2057" max="2057" width="15.21875" style="69" customWidth="1"/>
    <col min="2058" max="2058" width="1.88671875" style="69" customWidth="1"/>
    <col min="2059" max="2059" width="10.5546875" style="69" customWidth="1"/>
    <col min="2060" max="2064" width="8" style="69" customWidth="1"/>
    <col min="2065" max="2304" width="9.109375" style="69" hidden="1"/>
    <col min="2305" max="2305" width="6.88671875" style="69" customWidth="1"/>
    <col min="2306" max="2306" width="23.33203125" style="69" customWidth="1"/>
    <col min="2307" max="2307" width="42.88671875" style="69" customWidth="1"/>
    <col min="2308" max="2308" width="14" style="69" customWidth="1"/>
    <col min="2309" max="2309" width="14.109375" style="69" customWidth="1"/>
    <col min="2310" max="2310" width="13" style="69" customWidth="1"/>
    <col min="2311" max="2311" width="14" style="69" customWidth="1"/>
    <col min="2312" max="2312" width="15" style="69" customWidth="1"/>
    <col min="2313" max="2313" width="15.21875" style="69" customWidth="1"/>
    <col min="2314" max="2314" width="1.88671875" style="69" customWidth="1"/>
    <col min="2315" max="2315" width="10.5546875" style="69" customWidth="1"/>
    <col min="2316" max="2320" width="8" style="69" customWidth="1"/>
    <col min="2321" max="2560" width="9.109375" style="69" hidden="1"/>
    <col min="2561" max="2561" width="6.88671875" style="69" customWidth="1"/>
    <col min="2562" max="2562" width="23.33203125" style="69" customWidth="1"/>
    <col min="2563" max="2563" width="42.88671875" style="69" customWidth="1"/>
    <col min="2564" max="2564" width="14" style="69" customWidth="1"/>
    <col min="2565" max="2565" width="14.109375" style="69" customWidth="1"/>
    <col min="2566" max="2566" width="13" style="69" customWidth="1"/>
    <col min="2567" max="2567" width="14" style="69" customWidth="1"/>
    <col min="2568" max="2568" width="15" style="69" customWidth="1"/>
    <col min="2569" max="2569" width="15.21875" style="69" customWidth="1"/>
    <col min="2570" max="2570" width="1.88671875" style="69" customWidth="1"/>
    <col min="2571" max="2571" width="10.5546875" style="69" customWidth="1"/>
    <col min="2572" max="2576" width="8" style="69" customWidth="1"/>
    <col min="2577" max="2816" width="9.109375" style="69" hidden="1"/>
    <col min="2817" max="2817" width="6.88671875" style="69" customWidth="1"/>
    <col min="2818" max="2818" width="23.33203125" style="69" customWidth="1"/>
    <col min="2819" max="2819" width="42.88671875" style="69" customWidth="1"/>
    <col min="2820" max="2820" width="14" style="69" customWidth="1"/>
    <col min="2821" max="2821" width="14.109375" style="69" customWidth="1"/>
    <col min="2822" max="2822" width="13" style="69" customWidth="1"/>
    <col min="2823" max="2823" width="14" style="69" customWidth="1"/>
    <col min="2824" max="2824" width="15" style="69" customWidth="1"/>
    <col min="2825" max="2825" width="15.21875" style="69" customWidth="1"/>
    <col min="2826" max="2826" width="1.88671875" style="69" customWidth="1"/>
    <col min="2827" max="2827" width="10.5546875" style="69" customWidth="1"/>
    <col min="2828" max="2832" width="8" style="69" customWidth="1"/>
    <col min="2833" max="3072" width="9.109375" style="69" hidden="1"/>
    <col min="3073" max="3073" width="6.88671875" style="69" customWidth="1"/>
    <col min="3074" max="3074" width="23.33203125" style="69" customWidth="1"/>
    <col min="3075" max="3075" width="42.88671875" style="69" customWidth="1"/>
    <col min="3076" max="3076" width="14" style="69" customWidth="1"/>
    <col min="3077" max="3077" width="14.109375" style="69" customWidth="1"/>
    <col min="3078" max="3078" width="13" style="69" customWidth="1"/>
    <col min="3079" max="3079" width="14" style="69" customWidth="1"/>
    <col min="3080" max="3080" width="15" style="69" customWidth="1"/>
    <col min="3081" max="3081" width="15.21875" style="69" customWidth="1"/>
    <col min="3082" max="3082" width="1.88671875" style="69" customWidth="1"/>
    <col min="3083" max="3083" width="10.5546875" style="69" customWidth="1"/>
    <col min="3084" max="3088" width="8" style="69" customWidth="1"/>
    <col min="3089" max="3328" width="9.109375" style="69" hidden="1"/>
    <col min="3329" max="3329" width="6.88671875" style="69" customWidth="1"/>
    <col min="3330" max="3330" width="23.33203125" style="69" customWidth="1"/>
    <col min="3331" max="3331" width="42.88671875" style="69" customWidth="1"/>
    <col min="3332" max="3332" width="14" style="69" customWidth="1"/>
    <col min="3333" max="3333" width="14.109375" style="69" customWidth="1"/>
    <col min="3334" max="3334" width="13" style="69" customWidth="1"/>
    <col min="3335" max="3335" width="14" style="69" customWidth="1"/>
    <col min="3336" max="3336" width="15" style="69" customWidth="1"/>
    <col min="3337" max="3337" width="15.21875" style="69" customWidth="1"/>
    <col min="3338" max="3338" width="1.88671875" style="69" customWidth="1"/>
    <col min="3339" max="3339" width="10.5546875" style="69" customWidth="1"/>
    <col min="3340" max="3344" width="8" style="69" customWidth="1"/>
    <col min="3345" max="3584" width="9.109375" style="69" hidden="1"/>
    <col min="3585" max="3585" width="6.88671875" style="69" customWidth="1"/>
    <col min="3586" max="3586" width="23.33203125" style="69" customWidth="1"/>
    <col min="3587" max="3587" width="42.88671875" style="69" customWidth="1"/>
    <col min="3588" max="3588" width="14" style="69" customWidth="1"/>
    <col min="3589" max="3589" width="14.109375" style="69" customWidth="1"/>
    <col min="3590" max="3590" width="13" style="69" customWidth="1"/>
    <col min="3591" max="3591" width="14" style="69" customWidth="1"/>
    <col min="3592" max="3592" width="15" style="69" customWidth="1"/>
    <col min="3593" max="3593" width="15.21875" style="69" customWidth="1"/>
    <col min="3594" max="3594" width="1.88671875" style="69" customWidth="1"/>
    <col min="3595" max="3595" width="10.5546875" style="69" customWidth="1"/>
    <col min="3596" max="3600" width="8" style="69" customWidth="1"/>
    <col min="3601" max="3840" width="9.109375" style="69" hidden="1"/>
    <col min="3841" max="3841" width="6.88671875" style="69" customWidth="1"/>
    <col min="3842" max="3842" width="23.33203125" style="69" customWidth="1"/>
    <col min="3843" max="3843" width="42.88671875" style="69" customWidth="1"/>
    <col min="3844" max="3844" width="14" style="69" customWidth="1"/>
    <col min="3845" max="3845" width="14.109375" style="69" customWidth="1"/>
    <col min="3846" max="3846" width="13" style="69" customWidth="1"/>
    <col min="3847" max="3847" width="14" style="69" customWidth="1"/>
    <col min="3848" max="3848" width="15" style="69" customWidth="1"/>
    <col min="3849" max="3849" width="15.21875" style="69" customWidth="1"/>
    <col min="3850" max="3850" width="1.88671875" style="69" customWidth="1"/>
    <col min="3851" max="3851" width="10.5546875" style="69" customWidth="1"/>
    <col min="3852" max="3856" width="8" style="69" customWidth="1"/>
    <col min="3857" max="4096" width="9.109375" style="69" hidden="1"/>
    <col min="4097" max="4097" width="6.88671875" style="69" customWidth="1"/>
    <col min="4098" max="4098" width="23.33203125" style="69" customWidth="1"/>
    <col min="4099" max="4099" width="42.88671875" style="69" customWidth="1"/>
    <col min="4100" max="4100" width="14" style="69" customWidth="1"/>
    <col min="4101" max="4101" width="14.109375" style="69" customWidth="1"/>
    <col min="4102" max="4102" width="13" style="69" customWidth="1"/>
    <col min="4103" max="4103" width="14" style="69" customWidth="1"/>
    <col min="4104" max="4104" width="15" style="69" customWidth="1"/>
    <col min="4105" max="4105" width="15.21875" style="69" customWidth="1"/>
    <col min="4106" max="4106" width="1.88671875" style="69" customWidth="1"/>
    <col min="4107" max="4107" width="10.5546875" style="69" customWidth="1"/>
    <col min="4108" max="4112" width="8" style="69" customWidth="1"/>
    <col min="4113" max="4352" width="9.109375" style="69" hidden="1"/>
    <col min="4353" max="4353" width="6.88671875" style="69" customWidth="1"/>
    <col min="4354" max="4354" width="23.33203125" style="69" customWidth="1"/>
    <col min="4355" max="4355" width="42.88671875" style="69" customWidth="1"/>
    <col min="4356" max="4356" width="14" style="69" customWidth="1"/>
    <col min="4357" max="4357" width="14.109375" style="69" customWidth="1"/>
    <col min="4358" max="4358" width="13" style="69" customWidth="1"/>
    <col min="4359" max="4359" width="14" style="69" customWidth="1"/>
    <col min="4360" max="4360" width="15" style="69" customWidth="1"/>
    <col min="4361" max="4361" width="15.21875" style="69" customWidth="1"/>
    <col min="4362" max="4362" width="1.88671875" style="69" customWidth="1"/>
    <col min="4363" max="4363" width="10.5546875" style="69" customWidth="1"/>
    <col min="4364" max="4368" width="8" style="69" customWidth="1"/>
    <col min="4369" max="4608" width="9.109375" style="69" hidden="1"/>
    <col min="4609" max="4609" width="6.88671875" style="69" customWidth="1"/>
    <col min="4610" max="4610" width="23.33203125" style="69" customWidth="1"/>
    <col min="4611" max="4611" width="42.88671875" style="69" customWidth="1"/>
    <col min="4612" max="4612" width="14" style="69" customWidth="1"/>
    <col min="4613" max="4613" width="14.109375" style="69" customWidth="1"/>
    <col min="4614" max="4614" width="13" style="69" customWidth="1"/>
    <col min="4615" max="4615" width="14" style="69" customWidth="1"/>
    <col min="4616" max="4616" width="15" style="69" customWidth="1"/>
    <col min="4617" max="4617" width="15.21875" style="69" customWidth="1"/>
    <col min="4618" max="4618" width="1.88671875" style="69" customWidth="1"/>
    <col min="4619" max="4619" width="10.5546875" style="69" customWidth="1"/>
    <col min="4620" max="4624" width="8" style="69" customWidth="1"/>
    <col min="4625" max="4864" width="9.109375" style="69" hidden="1"/>
    <col min="4865" max="4865" width="6.88671875" style="69" customWidth="1"/>
    <col min="4866" max="4866" width="23.33203125" style="69" customWidth="1"/>
    <col min="4867" max="4867" width="42.88671875" style="69" customWidth="1"/>
    <col min="4868" max="4868" width="14" style="69" customWidth="1"/>
    <col min="4869" max="4869" width="14.109375" style="69" customWidth="1"/>
    <col min="4870" max="4870" width="13" style="69" customWidth="1"/>
    <col min="4871" max="4871" width="14" style="69" customWidth="1"/>
    <col min="4872" max="4872" width="15" style="69" customWidth="1"/>
    <col min="4873" max="4873" width="15.21875" style="69" customWidth="1"/>
    <col min="4874" max="4874" width="1.88671875" style="69" customWidth="1"/>
    <col min="4875" max="4875" width="10.5546875" style="69" customWidth="1"/>
    <col min="4876" max="4880" width="8" style="69" customWidth="1"/>
    <col min="4881" max="5120" width="9.109375" style="69" hidden="1"/>
    <col min="5121" max="5121" width="6.88671875" style="69" customWidth="1"/>
    <col min="5122" max="5122" width="23.33203125" style="69" customWidth="1"/>
    <col min="5123" max="5123" width="42.88671875" style="69" customWidth="1"/>
    <col min="5124" max="5124" width="14" style="69" customWidth="1"/>
    <col min="5125" max="5125" width="14.109375" style="69" customWidth="1"/>
    <col min="5126" max="5126" width="13" style="69" customWidth="1"/>
    <col min="5127" max="5127" width="14" style="69" customWidth="1"/>
    <col min="5128" max="5128" width="15" style="69" customWidth="1"/>
    <col min="5129" max="5129" width="15.21875" style="69" customWidth="1"/>
    <col min="5130" max="5130" width="1.88671875" style="69" customWidth="1"/>
    <col min="5131" max="5131" width="10.5546875" style="69" customWidth="1"/>
    <col min="5132" max="5136" width="8" style="69" customWidth="1"/>
    <col min="5137" max="5376" width="9.109375" style="69" hidden="1"/>
    <col min="5377" max="5377" width="6.88671875" style="69" customWidth="1"/>
    <col min="5378" max="5378" width="23.33203125" style="69" customWidth="1"/>
    <col min="5379" max="5379" width="42.88671875" style="69" customWidth="1"/>
    <col min="5380" max="5380" width="14" style="69" customWidth="1"/>
    <col min="5381" max="5381" width="14.109375" style="69" customWidth="1"/>
    <col min="5382" max="5382" width="13" style="69" customWidth="1"/>
    <col min="5383" max="5383" width="14" style="69" customWidth="1"/>
    <col min="5384" max="5384" width="15" style="69" customWidth="1"/>
    <col min="5385" max="5385" width="15.21875" style="69" customWidth="1"/>
    <col min="5386" max="5386" width="1.88671875" style="69" customWidth="1"/>
    <col min="5387" max="5387" width="10.5546875" style="69" customWidth="1"/>
    <col min="5388" max="5392" width="8" style="69" customWidth="1"/>
    <col min="5393" max="5632" width="9.109375" style="69" hidden="1"/>
    <col min="5633" max="5633" width="6.88671875" style="69" customWidth="1"/>
    <col min="5634" max="5634" width="23.33203125" style="69" customWidth="1"/>
    <col min="5635" max="5635" width="42.88671875" style="69" customWidth="1"/>
    <col min="5636" max="5636" width="14" style="69" customWidth="1"/>
    <col min="5637" max="5637" width="14.109375" style="69" customWidth="1"/>
    <col min="5638" max="5638" width="13" style="69" customWidth="1"/>
    <col min="5639" max="5639" width="14" style="69" customWidth="1"/>
    <col min="5640" max="5640" width="15" style="69" customWidth="1"/>
    <col min="5641" max="5641" width="15.21875" style="69" customWidth="1"/>
    <col min="5642" max="5642" width="1.88671875" style="69" customWidth="1"/>
    <col min="5643" max="5643" width="10.5546875" style="69" customWidth="1"/>
    <col min="5644" max="5648" width="8" style="69" customWidth="1"/>
    <col min="5649" max="5888" width="9.109375" style="69" hidden="1"/>
    <col min="5889" max="5889" width="6.88671875" style="69" customWidth="1"/>
    <col min="5890" max="5890" width="23.33203125" style="69" customWidth="1"/>
    <col min="5891" max="5891" width="42.88671875" style="69" customWidth="1"/>
    <col min="5892" max="5892" width="14" style="69" customWidth="1"/>
    <col min="5893" max="5893" width="14.109375" style="69" customWidth="1"/>
    <col min="5894" max="5894" width="13" style="69" customWidth="1"/>
    <col min="5895" max="5895" width="14" style="69" customWidth="1"/>
    <col min="5896" max="5896" width="15" style="69" customWidth="1"/>
    <col min="5897" max="5897" width="15.21875" style="69" customWidth="1"/>
    <col min="5898" max="5898" width="1.88671875" style="69" customWidth="1"/>
    <col min="5899" max="5899" width="10.5546875" style="69" customWidth="1"/>
    <col min="5900" max="5904" width="8" style="69" customWidth="1"/>
    <col min="5905" max="6144" width="9.109375" style="69" hidden="1"/>
    <col min="6145" max="6145" width="6.88671875" style="69" customWidth="1"/>
    <col min="6146" max="6146" width="23.33203125" style="69" customWidth="1"/>
    <col min="6147" max="6147" width="42.88671875" style="69" customWidth="1"/>
    <col min="6148" max="6148" width="14" style="69" customWidth="1"/>
    <col min="6149" max="6149" width="14.109375" style="69" customWidth="1"/>
    <col min="6150" max="6150" width="13" style="69" customWidth="1"/>
    <col min="6151" max="6151" width="14" style="69" customWidth="1"/>
    <col min="6152" max="6152" width="15" style="69" customWidth="1"/>
    <col min="6153" max="6153" width="15.21875" style="69" customWidth="1"/>
    <col min="6154" max="6154" width="1.88671875" style="69" customWidth="1"/>
    <col min="6155" max="6155" width="10.5546875" style="69" customWidth="1"/>
    <col min="6156" max="6160" width="8" style="69" customWidth="1"/>
    <col min="6161" max="6400" width="9.109375" style="69" hidden="1"/>
    <col min="6401" max="6401" width="6.88671875" style="69" customWidth="1"/>
    <col min="6402" max="6402" width="23.33203125" style="69" customWidth="1"/>
    <col min="6403" max="6403" width="42.88671875" style="69" customWidth="1"/>
    <col min="6404" max="6404" width="14" style="69" customWidth="1"/>
    <col min="6405" max="6405" width="14.109375" style="69" customWidth="1"/>
    <col min="6406" max="6406" width="13" style="69" customWidth="1"/>
    <col min="6407" max="6407" width="14" style="69" customWidth="1"/>
    <col min="6408" max="6408" width="15" style="69" customWidth="1"/>
    <col min="6409" max="6409" width="15.21875" style="69" customWidth="1"/>
    <col min="6410" max="6410" width="1.88671875" style="69" customWidth="1"/>
    <col min="6411" max="6411" width="10.5546875" style="69" customWidth="1"/>
    <col min="6412" max="6416" width="8" style="69" customWidth="1"/>
    <col min="6417" max="6656" width="9.109375" style="69" hidden="1"/>
    <col min="6657" max="6657" width="6.88671875" style="69" customWidth="1"/>
    <col min="6658" max="6658" width="23.33203125" style="69" customWidth="1"/>
    <col min="6659" max="6659" width="42.88671875" style="69" customWidth="1"/>
    <col min="6660" max="6660" width="14" style="69" customWidth="1"/>
    <col min="6661" max="6661" width="14.109375" style="69" customWidth="1"/>
    <col min="6662" max="6662" width="13" style="69" customWidth="1"/>
    <col min="6663" max="6663" width="14" style="69" customWidth="1"/>
    <col min="6664" max="6664" width="15" style="69" customWidth="1"/>
    <col min="6665" max="6665" width="15.21875" style="69" customWidth="1"/>
    <col min="6666" max="6666" width="1.88671875" style="69" customWidth="1"/>
    <col min="6667" max="6667" width="10.5546875" style="69" customWidth="1"/>
    <col min="6668" max="6672" width="8" style="69" customWidth="1"/>
    <col min="6673" max="6912" width="9.109375" style="69" hidden="1"/>
    <col min="6913" max="6913" width="6.88671875" style="69" customWidth="1"/>
    <col min="6914" max="6914" width="23.33203125" style="69" customWidth="1"/>
    <col min="6915" max="6915" width="42.88671875" style="69" customWidth="1"/>
    <col min="6916" max="6916" width="14" style="69" customWidth="1"/>
    <col min="6917" max="6917" width="14.109375" style="69" customWidth="1"/>
    <col min="6918" max="6918" width="13" style="69" customWidth="1"/>
    <col min="6919" max="6919" width="14" style="69" customWidth="1"/>
    <col min="6920" max="6920" width="15" style="69" customWidth="1"/>
    <col min="6921" max="6921" width="15.21875" style="69" customWidth="1"/>
    <col min="6922" max="6922" width="1.88671875" style="69" customWidth="1"/>
    <col min="6923" max="6923" width="10.5546875" style="69" customWidth="1"/>
    <col min="6924" max="6928" width="8" style="69" customWidth="1"/>
    <col min="6929" max="7168" width="9.109375" style="69" hidden="1"/>
    <col min="7169" max="7169" width="6.88671875" style="69" customWidth="1"/>
    <col min="7170" max="7170" width="23.33203125" style="69" customWidth="1"/>
    <col min="7171" max="7171" width="42.88671875" style="69" customWidth="1"/>
    <col min="7172" max="7172" width="14" style="69" customWidth="1"/>
    <col min="7173" max="7173" width="14.109375" style="69" customWidth="1"/>
    <col min="7174" max="7174" width="13" style="69" customWidth="1"/>
    <col min="7175" max="7175" width="14" style="69" customWidth="1"/>
    <col min="7176" max="7176" width="15" style="69" customWidth="1"/>
    <col min="7177" max="7177" width="15.21875" style="69" customWidth="1"/>
    <col min="7178" max="7178" width="1.88671875" style="69" customWidth="1"/>
    <col min="7179" max="7179" width="10.5546875" style="69" customWidth="1"/>
    <col min="7180" max="7184" width="8" style="69" customWidth="1"/>
    <col min="7185" max="7424" width="9.109375" style="69" hidden="1"/>
    <col min="7425" max="7425" width="6.88671875" style="69" customWidth="1"/>
    <col min="7426" max="7426" width="23.33203125" style="69" customWidth="1"/>
    <col min="7427" max="7427" width="42.88671875" style="69" customWidth="1"/>
    <col min="7428" max="7428" width="14" style="69" customWidth="1"/>
    <col min="7429" max="7429" width="14.109375" style="69" customWidth="1"/>
    <col min="7430" max="7430" width="13" style="69" customWidth="1"/>
    <col min="7431" max="7431" width="14" style="69" customWidth="1"/>
    <col min="7432" max="7432" width="15" style="69" customWidth="1"/>
    <col min="7433" max="7433" width="15.21875" style="69" customWidth="1"/>
    <col min="7434" max="7434" width="1.88671875" style="69" customWidth="1"/>
    <col min="7435" max="7435" width="10.5546875" style="69" customWidth="1"/>
    <col min="7436" max="7440" width="8" style="69" customWidth="1"/>
    <col min="7441" max="7680" width="9.109375" style="69" hidden="1"/>
    <col min="7681" max="7681" width="6.88671875" style="69" customWidth="1"/>
    <col min="7682" max="7682" width="23.33203125" style="69" customWidth="1"/>
    <col min="7683" max="7683" width="42.88671875" style="69" customWidth="1"/>
    <col min="7684" max="7684" width="14" style="69" customWidth="1"/>
    <col min="7685" max="7685" width="14.109375" style="69" customWidth="1"/>
    <col min="7686" max="7686" width="13" style="69" customWidth="1"/>
    <col min="7687" max="7687" width="14" style="69" customWidth="1"/>
    <col min="7688" max="7688" width="15" style="69" customWidth="1"/>
    <col min="7689" max="7689" width="15.21875" style="69" customWidth="1"/>
    <col min="7690" max="7690" width="1.88671875" style="69" customWidth="1"/>
    <col min="7691" max="7691" width="10.5546875" style="69" customWidth="1"/>
    <col min="7692" max="7696" width="8" style="69" customWidth="1"/>
    <col min="7697" max="7936" width="9.109375" style="69" hidden="1"/>
    <col min="7937" max="7937" width="6.88671875" style="69" customWidth="1"/>
    <col min="7938" max="7938" width="23.33203125" style="69" customWidth="1"/>
    <col min="7939" max="7939" width="42.88671875" style="69" customWidth="1"/>
    <col min="7940" max="7940" width="14" style="69" customWidth="1"/>
    <col min="7941" max="7941" width="14.109375" style="69" customWidth="1"/>
    <col min="7942" max="7942" width="13" style="69" customWidth="1"/>
    <col min="7943" max="7943" width="14" style="69" customWidth="1"/>
    <col min="7944" max="7944" width="15" style="69" customWidth="1"/>
    <col min="7945" max="7945" width="15.21875" style="69" customWidth="1"/>
    <col min="7946" max="7946" width="1.88671875" style="69" customWidth="1"/>
    <col min="7947" max="7947" width="10.5546875" style="69" customWidth="1"/>
    <col min="7948" max="7952" width="8" style="69" customWidth="1"/>
    <col min="7953" max="8192" width="9.109375" style="69" hidden="1"/>
    <col min="8193" max="8193" width="6.88671875" style="69" customWidth="1"/>
    <col min="8194" max="8194" width="23.33203125" style="69" customWidth="1"/>
    <col min="8195" max="8195" width="42.88671875" style="69" customWidth="1"/>
    <col min="8196" max="8196" width="14" style="69" customWidth="1"/>
    <col min="8197" max="8197" width="14.109375" style="69" customWidth="1"/>
    <col min="8198" max="8198" width="13" style="69" customWidth="1"/>
    <col min="8199" max="8199" width="14" style="69" customWidth="1"/>
    <col min="8200" max="8200" width="15" style="69" customWidth="1"/>
    <col min="8201" max="8201" width="15.21875" style="69" customWidth="1"/>
    <col min="8202" max="8202" width="1.88671875" style="69" customWidth="1"/>
    <col min="8203" max="8203" width="10.5546875" style="69" customWidth="1"/>
    <col min="8204" max="8208" width="8" style="69" customWidth="1"/>
    <col min="8209" max="8448" width="9.109375" style="69" hidden="1"/>
    <col min="8449" max="8449" width="6.88671875" style="69" customWidth="1"/>
    <col min="8450" max="8450" width="23.33203125" style="69" customWidth="1"/>
    <col min="8451" max="8451" width="42.88671875" style="69" customWidth="1"/>
    <col min="8452" max="8452" width="14" style="69" customWidth="1"/>
    <col min="8453" max="8453" width="14.109375" style="69" customWidth="1"/>
    <col min="8454" max="8454" width="13" style="69" customWidth="1"/>
    <col min="8455" max="8455" width="14" style="69" customWidth="1"/>
    <col min="8456" max="8456" width="15" style="69" customWidth="1"/>
    <col min="8457" max="8457" width="15.21875" style="69" customWidth="1"/>
    <col min="8458" max="8458" width="1.88671875" style="69" customWidth="1"/>
    <col min="8459" max="8459" width="10.5546875" style="69" customWidth="1"/>
    <col min="8460" max="8464" width="8" style="69" customWidth="1"/>
    <col min="8465" max="8704" width="9.109375" style="69" hidden="1"/>
    <col min="8705" max="8705" width="6.88671875" style="69" customWidth="1"/>
    <col min="8706" max="8706" width="23.33203125" style="69" customWidth="1"/>
    <col min="8707" max="8707" width="42.88671875" style="69" customWidth="1"/>
    <col min="8708" max="8708" width="14" style="69" customWidth="1"/>
    <col min="8709" max="8709" width="14.109375" style="69" customWidth="1"/>
    <col min="8710" max="8710" width="13" style="69" customWidth="1"/>
    <col min="8711" max="8711" width="14" style="69" customWidth="1"/>
    <col min="8712" max="8712" width="15" style="69" customWidth="1"/>
    <col min="8713" max="8713" width="15.21875" style="69" customWidth="1"/>
    <col min="8714" max="8714" width="1.88671875" style="69" customWidth="1"/>
    <col min="8715" max="8715" width="10.5546875" style="69" customWidth="1"/>
    <col min="8716" max="8720" width="8" style="69" customWidth="1"/>
    <col min="8721" max="8960" width="9.109375" style="69" hidden="1"/>
    <col min="8961" max="8961" width="6.88671875" style="69" customWidth="1"/>
    <col min="8962" max="8962" width="23.33203125" style="69" customWidth="1"/>
    <col min="8963" max="8963" width="42.88671875" style="69" customWidth="1"/>
    <col min="8964" max="8964" width="14" style="69" customWidth="1"/>
    <col min="8965" max="8965" width="14.109375" style="69" customWidth="1"/>
    <col min="8966" max="8966" width="13" style="69" customWidth="1"/>
    <col min="8967" max="8967" width="14" style="69" customWidth="1"/>
    <col min="8968" max="8968" width="15" style="69" customWidth="1"/>
    <col min="8969" max="8969" width="15.21875" style="69" customWidth="1"/>
    <col min="8970" max="8970" width="1.88671875" style="69" customWidth="1"/>
    <col min="8971" max="8971" width="10.5546875" style="69" customWidth="1"/>
    <col min="8972" max="8976" width="8" style="69" customWidth="1"/>
    <col min="8977" max="9216" width="9.109375" style="69" hidden="1"/>
    <col min="9217" max="9217" width="6.88671875" style="69" customWidth="1"/>
    <col min="9218" max="9218" width="23.33203125" style="69" customWidth="1"/>
    <col min="9219" max="9219" width="42.88671875" style="69" customWidth="1"/>
    <col min="9220" max="9220" width="14" style="69" customWidth="1"/>
    <col min="9221" max="9221" width="14.109375" style="69" customWidth="1"/>
    <col min="9222" max="9222" width="13" style="69" customWidth="1"/>
    <col min="9223" max="9223" width="14" style="69" customWidth="1"/>
    <col min="9224" max="9224" width="15" style="69" customWidth="1"/>
    <col min="9225" max="9225" width="15.21875" style="69" customWidth="1"/>
    <col min="9226" max="9226" width="1.88671875" style="69" customWidth="1"/>
    <col min="9227" max="9227" width="10.5546875" style="69" customWidth="1"/>
    <col min="9228" max="9232" width="8" style="69" customWidth="1"/>
    <col min="9233" max="9472" width="9.109375" style="69" hidden="1"/>
    <col min="9473" max="9473" width="6.88671875" style="69" customWidth="1"/>
    <col min="9474" max="9474" width="23.33203125" style="69" customWidth="1"/>
    <col min="9475" max="9475" width="42.88671875" style="69" customWidth="1"/>
    <col min="9476" max="9476" width="14" style="69" customWidth="1"/>
    <col min="9477" max="9477" width="14.109375" style="69" customWidth="1"/>
    <col min="9478" max="9478" width="13" style="69" customWidth="1"/>
    <col min="9479" max="9479" width="14" style="69" customWidth="1"/>
    <col min="9480" max="9480" width="15" style="69" customWidth="1"/>
    <col min="9481" max="9481" width="15.21875" style="69" customWidth="1"/>
    <col min="9482" max="9482" width="1.88671875" style="69" customWidth="1"/>
    <col min="9483" max="9483" width="10.5546875" style="69" customWidth="1"/>
    <col min="9484" max="9488" width="8" style="69" customWidth="1"/>
    <col min="9489" max="9728" width="9.109375" style="69" hidden="1"/>
    <col min="9729" max="9729" width="6.88671875" style="69" customWidth="1"/>
    <col min="9730" max="9730" width="23.33203125" style="69" customWidth="1"/>
    <col min="9731" max="9731" width="42.88671875" style="69" customWidth="1"/>
    <col min="9732" max="9732" width="14" style="69" customWidth="1"/>
    <col min="9733" max="9733" width="14.109375" style="69" customWidth="1"/>
    <col min="9734" max="9734" width="13" style="69" customWidth="1"/>
    <col min="9735" max="9735" width="14" style="69" customWidth="1"/>
    <col min="9736" max="9736" width="15" style="69" customWidth="1"/>
    <col min="9737" max="9737" width="15.21875" style="69" customWidth="1"/>
    <col min="9738" max="9738" width="1.88671875" style="69" customWidth="1"/>
    <col min="9739" max="9739" width="10.5546875" style="69" customWidth="1"/>
    <col min="9740" max="9744" width="8" style="69" customWidth="1"/>
    <col min="9745" max="9984" width="9.109375" style="69" hidden="1"/>
    <col min="9985" max="9985" width="6.88671875" style="69" customWidth="1"/>
    <col min="9986" max="9986" width="23.33203125" style="69" customWidth="1"/>
    <col min="9987" max="9987" width="42.88671875" style="69" customWidth="1"/>
    <col min="9988" max="9988" width="14" style="69" customWidth="1"/>
    <col min="9989" max="9989" width="14.109375" style="69" customWidth="1"/>
    <col min="9990" max="9990" width="13" style="69" customWidth="1"/>
    <col min="9991" max="9991" width="14" style="69" customWidth="1"/>
    <col min="9992" max="9992" width="15" style="69" customWidth="1"/>
    <col min="9993" max="9993" width="15.21875" style="69" customWidth="1"/>
    <col min="9994" max="9994" width="1.88671875" style="69" customWidth="1"/>
    <col min="9995" max="9995" width="10.5546875" style="69" customWidth="1"/>
    <col min="9996" max="10000" width="8" style="69" customWidth="1"/>
    <col min="10001" max="10240" width="9.109375" style="69" hidden="1"/>
    <col min="10241" max="10241" width="6.88671875" style="69" customWidth="1"/>
    <col min="10242" max="10242" width="23.33203125" style="69" customWidth="1"/>
    <col min="10243" max="10243" width="42.88671875" style="69" customWidth="1"/>
    <col min="10244" max="10244" width="14" style="69" customWidth="1"/>
    <col min="10245" max="10245" width="14.109375" style="69" customWidth="1"/>
    <col min="10246" max="10246" width="13" style="69" customWidth="1"/>
    <col min="10247" max="10247" width="14" style="69" customWidth="1"/>
    <col min="10248" max="10248" width="15" style="69" customWidth="1"/>
    <col min="10249" max="10249" width="15.21875" style="69" customWidth="1"/>
    <col min="10250" max="10250" width="1.88671875" style="69" customWidth="1"/>
    <col min="10251" max="10251" width="10.5546875" style="69" customWidth="1"/>
    <col min="10252" max="10256" width="8" style="69" customWidth="1"/>
    <col min="10257" max="10496" width="9.109375" style="69" hidden="1"/>
    <col min="10497" max="10497" width="6.88671875" style="69" customWidth="1"/>
    <col min="10498" max="10498" width="23.33203125" style="69" customWidth="1"/>
    <col min="10499" max="10499" width="42.88671875" style="69" customWidth="1"/>
    <col min="10500" max="10500" width="14" style="69" customWidth="1"/>
    <col min="10501" max="10501" width="14.109375" style="69" customWidth="1"/>
    <col min="10502" max="10502" width="13" style="69" customWidth="1"/>
    <col min="10503" max="10503" width="14" style="69" customWidth="1"/>
    <col min="10504" max="10504" width="15" style="69" customWidth="1"/>
    <col min="10505" max="10505" width="15.21875" style="69" customWidth="1"/>
    <col min="10506" max="10506" width="1.88671875" style="69" customWidth="1"/>
    <col min="10507" max="10507" width="10.5546875" style="69" customWidth="1"/>
    <col min="10508" max="10512" width="8" style="69" customWidth="1"/>
    <col min="10513" max="10752" width="9.109375" style="69" hidden="1"/>
    <col min="10753" max="10753" width="6.88671875" style="69" customWidth="1"/>
    <col min="10754" max="10754" width="23.33203125" style="69" customWidth="1"/>
    <col min="10755" max="10755" width="42.88671875" style="69" customWidth="1"/>
    <col min="10756" max="10756" width="14" style="69" customWidth="1"/>
    <col min="10757" max="10757" width="14.109375" style="69" customWidth="1"/>
    <col min="10758" max="10758" width="13" style="69" customWidth="1"/>
    <col min="10759" max="10759" width="14" style="69" customWidth="1"/>
    <col min="10760" max="10760" width="15" style="69" customWidth="1"/>
    <col min="10761" max="10761" width="15.21875" style="69" customWidth="1"/>
    <col min="10762" max="10762" width="1.88671875" style="69" customWidth="1"/>
    <col min="10763" max="10763" width="10.5546875" style="69" customWidth="1"/>
    <col min="10764" max="10768" width="8" style="69" customWidth="1"/>
    <col min="10769" max="11008" width="9.109375" style="69" hidden="1"/>
    <col min="11009" max="11009" width="6.88671875" style="69" customWidth="1"/>
    <col min="11010" max="11010" width="23.33203125" style="69" customWidth="1"/>
    <col min="11011" max="11011" width="42.88671875" style="69" customWidth="1"/>
    <col min="11012" max="11012" width="14" style="69" customWidth="1"/>
    <col min="11013" max="11013" width="14.109375" style="69" customWidth="1"/>
    <col min="11014" max="11014" width="13" style="69" customWidth="1"/>
    <col min="11015" max="11015" width="14" style="69" customWidth="1"/>
    <col min="11016" max="11016" width="15" style="69" customWidth="1"/>
    <col min="11017" max="11017" width="15.21875" style="69" customWidth="1"/>
    <col min="11018" max="11018" width="1.88671875" style="69" customWidth="1"/>
    <col min="11019" max="11019" width="10.5546875" style="69" customWidth="1"/>
    <col min="11020" max="11024" width="8" style="69" customWidth="1"/>
    <col min="11025" max="11264" width="9.109375" style="69" hidden="1"/>
    <col min="11265" max="11265" width="6.88671875" style="69" customWidth="1"/>
    <col min="11266" max="11266" width="23.33203125" style="69" customWidth="1"/>
    <col min="11267" max="11267" width="42.88671875" style="69" customWidth="1"/>
    <col min="11268" max="11268" width="14" style="69" customWidth="1"/>
    <col min="11269" max="11269" width="14.109375" style="69" customWidth="1"/>
    <col min="11270" max="11270" width="13" style="69" customWidth="1"/>
    <col min="11271" max="11271" width="14" style="69" customWidth="1"/>
    <col min="11272" max="11272" width="15" style="69" customWidth="1"/>
    <col min="11273" max="11273" width="15.21875" style="69" customWidth="1"/>
    <col min="11274" max="11274" width="1.88671875" style="69" customWidth="1"/>
    <col min="11275" max="11275" width="10.5546875" style="69" customWidth="1"/>
    <col min="11276" max="11280" width="8" style="69" customWidth="1"/>
    <col min="11281" max="11520" width="9.109375" style="69" hidden="1"/>
    <col min="11521" max="11521" width="6.88671875" style="69" customWidth="1"/>
    <col min="11522" max="11522" width="23.33203125" style="69" customWidth="1"/>
    <col min="11523" max="11523" width="42.88671875" style="69" customWidth="1"/>
    <col min="11524" max="11524" width="14" style="69" customWidth="1"/>
    <col min="11525" max="11525" width="14.109375" style="69" customWidth="1"/>
    <col min="11526" max="11526" width="13" style="69" customWidth="1"/>
    <col min="11527" max="11527" width="14" style="69" customWidth="1"/>
    <col min="11528" max="11528" width="15" style="69" customWidth="1"/>
    <col min="11529" max="11529" width="15.21875" style="69" customWidth="1"/>
    <col min="11530" max="11530" width="1.88671875" style="69" customWidth="1"/>
    <col min="11531" max="11531" width="10.5546875" style="69" customWidth="1"/>
    <col min="11532" max="11536" width="8" style="69" customWidth="1"/>
    <col min="11537" max="11776" width="9.109375" style="69" hidden="1"/>
    <col min="11777" max="11777" width="6.88671875" style="69" customWidth="1"/>
    <col min="11778" max="11778" width="23.33203125" style="69" customWidth="1"/>
    <col min="11779" max="11779" width="42.88671875" style="69" customWidth="1"/>
    <col min="11780" max="11780" width="14" style="69" customWidth="1"/>
    <col min="11781" max="11781" width="14.109375" style="69" customWidth="1"/>
    <col min="11782" max="11782" width="13" style="69" customWidth="1"/>
    <col min="11783" max="11783" width="14" style="69" customWidth="1"/>
    <col min="11784" max="11784" width="15" style="69" customWidth="1"/>
    <col min="11785" max="11785" width="15.21875" style="69" customWidth="1"/>
    <col min="11786" max="11786" width="1.88671875" style="69" customWidth="1"/>
    <col min="11787" max="11787" width="10.5546875" style="69" customWidth="1"/>
    <col min="11788" max="11792" width="8" style="69" customWidth="1"/>
    <col min="11793" max="12032" width="9.109375" style="69" hidden="1"/>
    <col min="12033" max="12033" width="6.88671875" style="69" customWidth="1"/>
    <col min="12034" max="12034" width="23.33203125" style="69" customWidth="1"/>
    <col min="12035" max="12035" width="42.88671875" style="69" customWidth="1"/>
    <col min="12036" max="12036" width="14" style="69" customWidth="1"/>
    <col min="12037" max="12037" width="14.109375" style="69" customWidth="1"/>
    <col min="12038" max="12038" width="13" style="69" customWidth="1"/>
    <col min="12039" max="12039" width="14" style="69" customWidth="1"/>
    <col min="12040" max="12040" width="15" style="69" customWidth="1"/>
    <col min="12041" max="12041" width="15.21875" style="69" customWidth="1"/>
    <col min="12042" max="12042" width="1.88671875" style="69" customWidth="1"/>
    <col min="12043" max="12043" width="10.5546875" style="69" customWidth="1"/>
    <col min="12044" max="12048" width="8" style="69" customWidth="1"/>
    <col min="12049" max="12288" width="9.109375" style="69" hidden="1"/>
    <col min="12289" max="12289" width="6.88671875" style="69" customWidth="1"/>
    <col min="12290" max="12290" width="23.33203125" style="69" customWidth="1"/>
    <col min="12291" max="12291" width="42.88671875" style="69" customWidth="1"/>
    <col min="12292" max="12292" width="14" style="69" customWidth="1"/>
    <col min="12293" max="12293" width="14.109375" style="69" customWidth="1"/>
    <col min="12294" max="12294" width="13" style="69" customWidth="1"/>
    <col min="12295" max="12295" width="14" style="69" customWidth="1"/>
    <col min="12296" max="12296" width="15" style="69" customWidth="1"/>
    <col min="12297" max="12297" width="15.21875" style="69" customWidth="1"/>
    <col min="12298" max="12298" width="1.88671875" style="69" customWidth="1"/>
    <col min="12299" max="12299" width="10.5546875" style="69" customWidth="1"/>
    <col min="12300" max="12304" width="8" style="69" customWidth="1"/>
    <col min="12305" max="12544" width="9.109375" style="69" hidden="1"/>
    <col min="12545" max="12545" width="6.88671875" style="69" customWidth="1"/>
    <col min="12546" max="12546" width="23.33203125" style="69" customWidth="1"/>
    <col min="12547" max="12547" width="42.88671875" style="69" customWidth="1"/>
    <col min="12548" max="12548" width="14" style="69" customWidth="1"/>
    <col min="12549" max="12549" width="14.109375" style="69" customWidth="1"/>
    <col min="12550" max="12550" width="13" style="69" customWidth="1"/>
    <col min="12551" max="12551" width="14" style="69" customWidth="1"/>
    <col min="12552" max="12552" width="15" style="69" customWidth="1"/>
    <col min="12553" max="12553" width="15.21875" style="69" customWidth="1"/>
    <col min="12554" max="12554" width="1.88671875" style="69" customWidth="1"/>
    <col min="12555" max="12555" width="10.5546875" style="69" customWidth="1"/>
    <col min="12556" max="12560" width="8" style="69" customWidth="1"/>
    <col min="12561" max="12800" width="9.109375" style="69" hidden="1"/>
    <col min="12801" max="12801" width="6.88671875" style="69" customWidth="1"/>
    <col min="12802" max="12802" width="23.33203125" style="69" customWidth="1"/>
    <col min="12803" max="12803" width="42.88671875" style="69" customWidth="1"/>
    <col min="12804" max="12804" width="14" style="69" customWidth="1"/>
    <col min="12805" max="12805" width="14.109375" style="69" customWidth="1"/>
    <col min="12806" max="12806" width="13" style="69" customWidth="1"/>
    <col min="12807" max="12807" width="14" style="69" customWidth="1"/>
    <col min="12808" max="12808" width="15" style="69" customWidth="1"/>
    <col min="12809" max="12809" width="15.21875" style="69" customWidth="1"/>
    <col min="12810" max="12810" width="1.88671875" style="69" customWidth="1"/>
    <col min="12811" max="12811" width="10.5546875" style="69" customWidth="1"/>
    <col min="12812" max="12816" width="8" style="69" customWidth="1"/>
    <col min="12817" max="13056" width="9.109375" style="69" hidden="1"/>
    <col min="13057" max="13057" width="6.88671875" style="69" customWidth="1"/>
    <col min="13058" max="13058" width="23.33203125" style="69" customWidth="1"/>
    <col min="13059" max="13059" width="42.88671875" style="69" customWidth="1"/>
    <col min="13060" max="13060" width="14" style="69" customWidth="1"/>
    <col min="13061" max="13061" width="14.109375" style="69" customWidth="1"/>
    <col min="13062" max="13062" width="13" style="69" customWidth="1"/>
    <col min="13063" max="13063" width="14" style="69" customWidth="1"/>
    <col min="13064" max="13064" width="15" style="69" customWidth="1"/>
    <col min="13065" max="13065" width="15.21875" style="69" customWidth="1"/>
    <col min="13066" max="13066" width="1.88671875" style="69" customWidth="1"/>
    <col min="13067" max="13067" width="10.5546875" style="69" customWidth="1"/>
    <col min="13068" max="13072" width="8" style="69" customWidth="1"/>
    <col min="13073" max="13312" width="9.109375" style="69" hidden="1"/>
    <col min="13313" max="13313" width="6.88671875" style="69" customWidth="1"/>
    <col min="13314" max="13314" width="23.33203125" style="69" customWidth="1"/>
    <col min="13315" max="13315" width="42.88671875" style="69" customWidth="1"/>
    <col min="13316" max="13316" width="14" style="69" customWidth="1"/>
    <col min="13317" max="13317" width="14.109375" style="69" customWidth="1"/>
    <col min="13318" max="13318" width="13" style="69" customWidth="1"/>
    <col min="13319" max="13319" width="14" style="69" customWidth="1"/>
    <col min="13320" max="13320" width="15" style="69" customWidth="1"/>
    <col min="13321" max="13321" width="15.21875" style="69" customWidth="1"/>
    <col min="13322" max="13322" width="1.88671875" style="69" customWidth="1"/>
    <col min="13323" max="13323" width="10.5546875" style="69" customWidth="1"/>
    <col min="13324" max="13328" width="8" style="69" customWidth="1"/>
    <col min="13329" max="13568" width="9.109375" style="69" hidden="1"/>
    <col min="13569" max="13569" width="6.88671875" style="69" customWidth="1"/>
    <col min="13570" max="13570" width="23.33203125" style="69" customWidth="1"/>
    <col min="13571" max="13571" width="42.88671875" style="69" customWidth="1"/>
    <col min="13572" max="13572" width="14" style="69" customWidth="1"/>
    <col min="13573" max="13573" width="14.109375" style="69" customWidth="1"/>
    <col min="13574" max="13574" width="13" style="69" customWidth="1"/>
    <col min="13575" max="13575" width="14" style="69" customWidth="1"/>
    <col min="13576" max="13576" width="15" style="69" customWidth="1"/>
    <col min="13577" max="13577" width="15.21875" style="69" customWidth="1"/>
    <col min="13578" max="13578" width="1.88671875" style="69" customWidth="1"/>
    <col min="13579" max="13579" width="10.5546875" style="69" customWidth="1"/>
    <col min="13580" max="13584" width="8" style="69" customWidth="1"/>
    <col min="13585" max="13824" width="9.109375" style="69" hidden="1"/>
    <col min="13825" max="13825" width="6.88671875" style="69" customWidth="1"/>
    <col min="13826" max="13826" width="23.33203125" style="69" customWidth="1"/>
    <col min="13827" max="13827" width="42.88671875" style="69" customWidth="1"/>
    <col min="13828" max="13828" width="14" style="69" customWidth="1"/>
    <col min="13829" max="13829" width="14.109375" style="69" customWidth="1"/>
    <col min="13830" max="13830" width="13" style="69" customWidth="1"/>
    <col min="13831" max="13831" width="14" style="69" customWidth="1"/>
    <col min="13832" max="13832" width="15" style="69" customWidth="1"/>
    <col min="13833" max="13833" width="15.21875" style="69" customWidth="1"/>
    <col min="13834" max="13834" width="1.88671875" style="69" customWidth="1"/>
    <col min="13835" max="13835" width="10.5546875" style="69" customWidth="1"/>
    <col min="13836" max="13840" width="8" style="69" customWidth="1"/>
    <col min="13841" max="14080" width="9.109375" style="69" hidden="1"/>
    <col min="14081" max="14081" width="6.88671875" style="69" customWidth="1"/>
    <col min="14082" max="14082" width="23.33203125" style="69" customWidth="1"/>
    <col min="14083" max="14083" width="42.88671875" style="69" customWidth="1"/>
    <col min="14084" max="14084" width="14" style="69" customWidth="1"/>
    <col min="14085" max="14085" width="14.109375" style="69" customWidth="1"/>
    <col min="14086" max="14086" width="13" style="69" customWidth="1"/>
    <col min="14087" max="14087" width="14" style="69" customWidth="1"/>
    <col min="14088" max="14088" width="15" style="69" customWidth="1"/>
    <col min="14089" max="14089" width="15.21875" style="69" customWidth="1"/>
    <col min="14090" max="14090" width="1.88671875" style="69" customWidth="1"/>
    <col min="14091" max="14091" width="10.5546875" style="69" customWidth="1"/>
    <col min="14092" max="14096" width="8" style="69" customWidth="1"/>
    <col min="14097" max="14336" width="9.109375" style="69" hidden="1"/>
    <col min="14337" max="14337" width="6.88671875" style="69" customWidth="1"/>
    <col min="14338" max="14338" width="23.33203125" style="69" customWidth="1"/>
    <col min="14339" max="14339" width="42.88671875" style="69" customWidth="1"/>
    <col min="14340" max="14340" width="14" style="69" customWidth="1"/>
    <col min="14341" max="14341" width="14.109375" style="69" customWidth="1"/>
    <col min="14342" max="14342" width="13" style="69" customWidth="1"/>
    <col min="14343" max="14343" width="14" style="69" customWidth="1"/>
    <col min="14344" max="14344" width="15" style="69" customWidth="1"/>
    <col min="14345" max="14345" width="15.21875" style="69" customWidth="1"/>
    <col min="14346" max="14346" width="1.88671875" style="69" customWidth="1"/>
    <col min="14347" max="14347" width="10.5546875" style="69" customWidth="1"/>
    <col min="14348" max="14352" width="8" style="69" customWidth="1"/>
    <col min="14353" max="14592" width="9.109375" style="69" hidden="1"/>
    <col min="14593" max="14593" width="6.88671875" style="69" customWidth="1"/>
    <col min="14594" max="14594" width="23.33203125" style="69" customWidth="1"/>
    <col min="14595" max="14595" width="42.88671875" style="69" customWidth="1"/>
    <col min="14596" max="14596" width="14" style="69" customWidth="1"/>
    <col min="14597" max="14597" width="14.109375" style="69" customWidth="1"/>
    <col min="14598" max="14598" width="13" style="69" customWidth="1"/>
    <col min="14599" max="14599" width="14" style="69" customWidth="1"/>
    <col min="14600" max="14600" width="15" style="69" customWidth="1"/>
    <col min="14601" max="14601" width="15.21875" style="69" customWidth="1"/>
    <col min="14602" max="14602" width="1.88671875" style="69" customWidth="1"/>
    <col min="14603" max="14603" width="10.5546875" style="69" customWidth="1"/>
    <col min="14604" max="14608" width="8" style="69" customWidth="1"/>
    <col min="14609" max="14848" width="9.109375" style="69" hidden="1"/>
    <col min="14849" max="14849" width="6.88671875" style="69" customWidth="1"/>
    <col min="14850" max="14850" width="23.33203125" style="69" customWidth="1"/>
    <col min="14851" max="14851" width="42.88671875" style="69" customWidth="1"/>
    <col min="14852" max="14852" width="14" style="69" customWidth="1"/>
    <col min="14853" max="14853" width="14.109375" style="69" customWidth="1"/>
    <col min="14854" max="14854" width="13" style="69" customWidth="1"/>
    <col min="14855" max="14855" width="14" style="69" customWidth="1"/>
    <col min="14856" max="14856" width="15" style="69" customWidth="1"/>
    <col min="14857" max="14857" width="15.21875" style="69" customWidth="1"/>
    <col min="14858" max="14858" width="1.88671875" style="69" customWidth="1"/>
    <col min="14859" max="14859" width="10.5546875" style="69" customWidth="1"/>
    <col min="14860" max="14864" width="8" style="69" customWidth="1"/>
    <col min="14865" max="15104" width="9.109375" style="69" hidden="1"/>
    <col min="15105" max="15105" width="6.88671875" style="69" customWidth="1"/>
    <col min="15106" max="15106" width="23.33203125" style="69" customWidth="1"/>
    <col min="15107" max="15107" width="42.88671875" style="69" customWidth="1"/>
    <col min="15108" max="15108" width="14" style="69" customWidth="1"/>
    <col min="15109" max="15109" width="14.109375" style="69" customWidth="1"/>
    <col min="15110" max="15110" width="13" style="69" customWidth="1"/>
    <col min="15111" max="15111" width="14" style="69" customWidth="1"/>
    <col min="15112" max="15112" width="15" style="69" customWidth="1"/>
    <col min="15113" max="15113" width="15.21875" style="69" customWidth="1"/>
    <col min="15114" max="15114" width="1.88671875" style="69" customWidth="1"/>
    <col min="15115" max="15115" width="10.5546875" style="69" customWidth="1"/>
    <col min="15116" max="15120" width="8" style="69" customWidth="1"/>
    <col min="15121" max="15360" width="9.109375" style="69" hidden="1"/>
    <col min="15361" max="15361" width="6.88671875" style="69" customWidth="1"/>
    <col min="15362" max="15362" width="23.33203125" style="69" customWidth="1"/>
    <col min="15363" max="15363" width="42.88671875" style="69" customWidth="1"/>
    <col min="15364" max="15364" width="14" style="69" customWidth="1"/>
    <col min="15365" max="15365" width="14.109375" style="69" customWidth="1"/>
    <col min="15366" max="15366" width="13" style="69" customWidth="1"/>
    <col min="15367" max="15367" width="14" style="69" customWidth="1"/>
    <col min="15368" max="15368" width="15" style="69" customWidth="1"/>
    <col min="15369" max="15369" width="15.21875" style="69" customWidth="1"/>
    <col min="15370" max="15370" width="1.88671875" style="69" customWidth="1"/>
    <col min="15371" max="15371" width="10.5546875" style="69" customWidth="1"/>
    <col min="15372" max="15376" width="8" style="69" customWidth="1"/>
    <col min="15377" max="15616" width="9.109375" style="69" hidden="1"/>
    <col min="15617" max="15617" width="6.88671875" style="69" customWidth="1"/>
    <col min="15618" max="15618" width="23.33203125" style="69" customWidth="1"/>
    <col min="15619" max="15619" width="42.88671875" style="69" customWidth="1"/>
    <col min="15620" max="15620" width="14" style="69" customWidth="1"/>
    <col min="15621" max="15621" width="14.109375" style="69" customWidth="1"/>
    <col min="15622" max="15622" width="13" style="69" customWidth="1"/>
    <col min="15623" max="15623" width="14" style="69" customWidth="1"/>
    <col min="15624" max="15624" width="15" style="69" customWidth="1"/>
    <col min="15625" max="15625" width="15.21875" style="69" customWidth="1"/>
    <col min="15626" max="15626" width="1.88671875" style="69" customWidth="1"/>
    <col min="15627" max="15627" width="10.5546875" style="69" customWidth="1"/>
    <col min="15628" max="15632" width="8" style="69" customWidth="1"/>
    <col min="15633" max="15872" width="9.109375" style="69" hidden="1"/>
    <col min="15873" max="15873" width="6.88671875" style="69" customWidth="1"/>
    <col min="15874" max="15874" width="23.33203125" style="69" customWidth="1"/>
    <col min="15875" max="15875" width="42.88671875" style="69" customWidth="1"/>
    <col min="15876" max="15876" width="14" style="69" customWidth="1"/>
    <col min="15877" max="15877" width="14.109375" style="69" customWidth="1"/>
    <col min="15878" max="15878" width="13" style="69" customWidth="1"/>
    <col min="15879" max="15879" width="14" style="69" customWidth="1"/>
    <col min="15880" max="15880" width="15" style="69" customWidth="1"/>
    <col min="15881" max="15881" width="15.21875" style="69" customWidth="1"/>
    <col min="15882" max="15882" width="1.88671875" style="69" customWidth="1"/>
    <col min="15883" max="15883" width="10.5546875" style="69" customWidth="1"/>
    <col min="15884" max="15888" width="8" style="69" customWidth="1"/>
    <col min="15889" max="16128" width="9.109375" style="69" hidden="1"/>
    <col min="16129" max="16129" width="6.88671875" style="69" customWidth="1"/>
    <col min="16130" max="16130" width="23.33203125" style="69" customWidth="1"/>
    <col min="16131" max="16131" width="42.88671875" style="69" customWidth="1"/>
    <col min="16132" max="16132" width="14" style="69" customWidth="1"/>
    <col min="16133" max="16133" width="14.109375" style="69" customWidth="1"/>
    <col min="16134" max="16134" width="13" style="69" customWidth="1"/>
    <col min="16135" max="16135" width="14" style="69" customWidth="1"/>
    <col min="16136" max="16136" width="15" style="69" customWidth="1"/>
    <col min="16137" max="16137" width="15.21875" style="69" customWidth="1"/>
    <col min="16138" max="16138" width="1.88671875" style="69" customWidth="1"/>
    <col min="16139" max="16139" width="10.5546875" style="69" customWidth="1"/>
    <col min="16140" max="16144" width="8" style="69" customWidth="1"/>
    <col min="16145" max="16146" width="0" style="69" hidden="1"/>
    <col min="16147" max="16384" width="9.109375" style="69" hidden="1"/>
  </cols>
  <sheetData>
    <row r="1" spans="1:246" s="226" customFormat="1" ht="22.8" customHeight="1">
      <c r="A1" s="222" t="s">
        <v>74</v>
      </c>
      <c r="B1" s="223"/>
      <c r="C1" s="223"/>
      <c r="D1" s="222"/>
      <c r="E1" s="224"/>
      <c r="F1" s="224"/>
      <c r="G1" s="224"/>
      <c r="H1" s="224"/>
      <c r="I1" s="225"/>
    </row>
    <row r="2" spans="1:246" s="226" customFormat="1" ht="22.8" customHeight="1">
      <c r="A2" s="222" t="s">
        <v>129</v>
      </c>
      <c r="B2" s="223"/>
      <c r="C2" s="223"/>
      <c r="D2" s="222"/>
      <c r="E2" s="224"/>
      <c r="F2" s="224"/>
      <c r="G2" s="224"/>
      <c r="H2" s="224"/>
      <c r="I2" s="225"/>
    </row>
    <row r="3" spans="1:246" s="226" customFormat="1" ht="22.8" customHeight="1">
      <c r="A3" s="226" t="s">
        <v>77</v>
      </c>
      <c r="B3" s="227"/>
      <c r="C3" s="228"/>
      <c r="D3" s="228"/>
      <c r="E3" s="229"/>
      <c r="F3" s="229"/>
      <c r="G3" s="230">
        <v>0.04</v>
      </c>
      <c r="H3" s="231"/>
    </row>
    <row r="4" spans="1:246" s="56" customFormat="1" ht="30" customHeight="1">
      <c r="A4" s="57" t="s">
        <v>0</v>
      </c>
      <c r="B4" s="98" t="s">
        <v>2</v>
      </c>
      <c r="C4" s="98" t="s">
        <v>6</v>
      </c>
      <c r="D4" s="98" t="s">
        <v>9</v>
      </c>
      <c r="E4" s="99" t="s">
        <v>26</v>
      </c>
      <c r="F4" s="100" t="s">
        <v>3</v>
      </c>
      <c r="G4" s="99" t="s">
        <v>29</v>
      </c>
      <c r="H4" s="101" t="s">
        <v>4</v>
      </c>
    </row>
    <row r="5" spans="1:246" s="302" customFormat="1" ht="19.95" customHeight="1">
      <c r="A5" s="92">
        <v>1</v>
      </c>
      <c r="B5" s="296" t="s">
        <v>107</v>
      </c>
      <c r="C5" s="102" t="s">
        <v>82</v>
      </c>
      <c r="D5" s="297" t="s">
        <v>75</v>
      </c>
      <c r="E5" s="103">
        <f>COUNTIFS(Table1351452010[[#All],[Sales]],"คุณนิมิต จุ้ยอยู่ทอง",Table1351452010[[#All],[Total
รายการเบิก
คอมขาย]],"&gt;0")</f>
        <v>0</v>
      </c>
      <c r="F5" s="298">
        <f>SUMIF(Table1351452010[[#All],[Sales]],"คุณนิมิต จุ้ยอยู่ทอง",Table1351452010[[#All],[Total
รายการเบิก
คอมขาย]])</f>
        <v>0</v>
      </c>
      <c r="G5" s="299">
        <f>F5*G3</f>
        <v>0</v>
      </c>
      <c r="H5" s="300">
        <f>F5-G5</f>
        <v>0</v>
      </c>
      <c r="I5" s="301"/>
      <c r="J5" s="322"/>
      <c r="L5" s="303"/>
    </row>
    <row r="6" spans="1:246" s="302" customFormat="1" ht="19.95" customHeight="1">
      <c r="A6" s="92"/>
      <c r="B6" s="304"/>
      <c r="C6" s="102" t="s">
        <v>83</v>
      </c>
      <c r="D6" s="305"/>
      <c r="E6" s="103">
        <f>COUNTIFS(Table1351452010[[#All],[Sales]],"คุณธวัช มีแสง",Table1351452010[[#All],[Total
รายการเบิก
คอมขาย]],"&gt;0")</f>
        <v>1</v>
      </c>
      <c r="F6" s="306">
        <f>SUMIF(Table1351452010[[#All],[Sales]],"คุณธวัช มีแสง",Table1351452010[[#All],[Total
รายการเบิก
คอมขาย]])</f>
        <v>2056.0700000000002</v>
      </c>
      <c r="G6" s="299">
        <f>F6*$G$3</f>
        <v>82.242800000000003</v>
      </c>
      <c r="H6" s="306">
        <f t="shared" ref="H6:H7" si="0">F6-G6</f>
        <v>1973.8272000000002</v>
      </c>
      <c r="I6" s="301"/>
      <c r="J6" s="307"/>
    </row>
    <row r="7" spans="1:246" s="302" customFormat="1" ht="19.95" customHeight="1">
      <c r="A7" s="92"/>
      <c r="B7" s="304"/>
      <c r="C7" s="102" t="s">
        <v>84</v>
      </c>
      <c r="D7" s="305"/>
      <c r="E7" s="103">
        <f>COUNTIFS(Table1351452010[[#All],[Sales]],"คุณแดง มูลสองแคว",Table1351452010[[#All],[Total
รายการเบิก
คอมขาย]],"&gt;0")</f>
        <v>0</v>
      </c>
      <c r="F7" s="298">
        <f>SUMIF(Table1351452010[[#All],[Sales]],"คุณแดง มูลสองแคว",Table1351452010[[#All],[Total
รายการเบิก
คอมขาย]])</f>
        <v>0</v>
      </c>
      <c r="G7" s="299">
        <f t="shared" ref="G7:G9" si="1">F7*$G$3</f>
        <v>0</v>
      </c>
      <c r="H7" s="300">
        <f t="shared" si="0"/>
        <v>0</v>
      </c>
      <c r="I7" s="308"/>
      <c r="J7" s="307"/>
    </row>
    <row r="8" spans="1:246" s="302" customFormat="1" ht="19.95" customHeight="1">
      <c r="A8" s="92"/>
      <c r="B8" s="304"/>
      <c r="C8" s="177" t="s">
        <v>85</v>
      </c>
      <c r="D8" s="305"/>
      <c r="E8" s="103">
        <f>COUNTIFS(Table1351452010[[#All],[Sales]],"คุณนิยนต์ อยู่ทะเล",Table1351452010[[#All],[Total
รายการเบิก
คอมขาย]],"&gt;0")</f>
        <v>0</v>
      </c>
      <c r="F8" s="298">
        <f>SUMIF(Table1351452010[[#All],[Sales]],"คุณนิยนต์ อยู่ทะเล",Table1351452010[[#All],[Total
รายการเบิก
คอมขาย]])</f>
        <v>0</v>
      </c>
      <c r="G8" s="299">
        <f t="shared" si="1"/>
        <v>0</v>
      </c>
      <c r="H8" s="300">
        <f t="shared" ref="H8" si="2">F8-G8</f>
        <v>0</v>
      </c>
      <c r="I8" s="308"/>
      <c r="J8" s="307"/>
    </row>
    <row r="9" spans="1:246" s="302" customFormat="1" ht="19.95" customHeight="1">
      <c r="A9" s="92"/>
      <c r="B9" s="304"/>
      <c r="C9" s="181" t="s">
        <v>78</v>
      </c>
      <c r="D9" s="305"/>
      <c r="E9" s="103">
        <f>COUNTIFS(Table1351452010[[#All],[Sales]],"คุณรุ่งอรุณ อินบุญรอด",Table1351452010[[#All],[Total
รายการเบิก
คอมขาย]],"&gt;0")</f>
        <v>1</v>
      </c>
      <c r="F9" s="306">
        <f>SUMIF(Table1351452010[[#All],[Sales]],"คุณรุ่งอรุณ อินบุญรอด",Table1351452010[[#All],[Total
รายการเบิก
คอมขาย]])</f>
        <v>2500</v>
      </c>
      <c r="G9" s="299">
        <f t="shared" si="1"/>
        <v>100</v>
      </c>
      <c r="H9" s="300">
        <f t="shared" ref="H9" si="3">F9-G9</f>
        <v>2400</v>
      </c>
      <c r="I9" s="308"/>
      <c r="J9" s="307"/>
    </row>
    <row r="10" spans="1:246" s="302" customFormat="1" ht="19.95" customHeight="1">
      <c r="A10" s="92"/>
      <c r="B10" s="309"/>
      <c r="C10" s="102" t="s">
        <v>79</v>
      </c>
      <c r="D10" s="305"/>
      <c r="E10" s="103">
        <f>COUNTIFS(Table1351452010[[#All],[Sales]],"คุณศศินาถ จุ้ยอยู่ทอง",Table1351452010[[#All],[Total
รายการเบิก
คอมขาย]],"&gt;0")</f>
        <v>2</v>
      </c>
      <c r="F10" s="306">
        <f>SUMIF(Table1351452010[[#All],[Sales]],"คุณศศินาถ จุ้ยอยู่ทอง",Table1351452010[[#All],[Total
รายการเบิก
คอมขาย]])</f>
        <v>2800</v>
      </c>
      <c r="G10" s="299">
        <f t="shared" ref="G10" si="4">F10*$G$3</f>
        <v>112</v>
      </c>
      <c r="H10" s="300">
        <f t="shared" ref="H10" si="5">F10-G10</f>
        <v>2688</v>
      </c>
      <c r="I10" s="308"/>
      <c r="J10" s="307"/>
    </row>
    <row r="11" spans="1:246" s="302" customFormat="1" ht="19.95" customHeight="1">
      <c r="A11" s="92"/>
      <c r="B11" s="309"/>
      <c r="C11" s="102" t="s">
        <v>103</v>
      </c>
      <c r="D11" s="305"/>
      <c r="E11" s="103">
        <f>COUNTIFS(Table1351452010[[#All],[Sales]],"คุณณรงศ์ศักย์ เหล่ารัตนเวช",Table1351452010[[#All],[Total
รายการเบิก
คอมขาย]],"&gt;0")</f>
        <v>0</v>
      </c>
      <c r="F11" s="298">
        <f>SUMIF(Table1351452010[[#All],[Sales]],"คุณณรงศ์ศักย์ เหล่ารัตนเวช",Table1351452010[[#All],[Total
รายการเบิก
คอมขาย]])</f>
        <v>0</v>
      </c>
      <c r="G11" s="299">
        <f t="shared" ref="G11:G13" si="6">F11*$G$3</f>
        <v>0</v>
      </c>
      <c r="H11" s="300">
        <f t="shared" ref="H11:H13" si="7">F11-G11</f>
        <v>0</v>
      </c>
      <c r="I11" s="308"/>
      <c r="J11" s="307"/>
    </row>
    <row r="12" spans="1:246" s="302" customFormat="1" ht="19.95" customHeight="1">
      <c r="A12" s="92"/>
      <c r="B12" s="309"/>
      <c r="C12" s="549" t="s">
        <v>168</v>
      </c>
      <c r="D12" s="305"/>
      <c r="E12" s="103">
        <f>COUNTIFS(Table1351452010[[#All],[Sales]],"คุณชนัฐฎา สนคะมี",Table1351452010[[#All],[Total
รายการเบิก
คอมขาย]],"&gt;0")</f>
        <v>1</v>
      </c>
      <c r="F12" s="298">
        <f>SUMIF(Table1351452010[[#All],[Sales]],"คุณชนัฐฎา สนคะมี",Table1351452010[[#All],[Total
รายการเบิก
คอมขาย]])</f>
        <v>4000</v>
      </c>
      <c r="G12" s="299">
        <f t="shared" ref="G12" si="8">F12*$G$3</f>
        <v>160</v>
      </c>
      <c r="H12" s="300">
        <f t="shared" ref="H12" si="9">F12-G12</f>
        <v>3840</v>
      </c>
      <c r="I12" s="308"/>
      <c r="J12" s="307"/>
    </row>
    <row r="13" spans="1:246" s="302" customFormat="1" ht="19.95" customHeight="1">
      <c r="A13" s="92"/>
      <c r="B13" s="310"/>
      <c r="C13" s="102" t="s">
        <v>81</v>
      </c>
      <c r="D13" s="311"/>
      <c r="E13" s="103">
        <f>COUNTIFS(Table1351452010[[#All],[Sales]],"คุณธัญลักษณ์ หมื่นหลุบกุง",Table1351452010[[#All],[Total
รายการเบิก
คอมขาย]],"&gt;0")</f>
        <v>0</v>
      </c>
      <c r="F13" s="298">
        <f>SUMIF(Table1351452010[[#All],[Sales]],"คุณธัญลักษณ์ หมื่นหลุบกุง",Table1351452010[[#All],[Total
รายการเบิก
คอมขาย]])</f>
        <v>0</v>
      </c>
      <c r="G13" s="299">
        <f t="shared" si="6"/>
        <v>0</v>
      </c>
      <c r="H13" s="300">
        <f t="shared" si="7"/>
        <v>0</v>
      </c>
      <c r="I13" s="308"/>
      <c r="J13" s="307"/>
    </row>
    <row r="14" spans="1:246" s="315" customFormat="1" ht="19.95" customHeight="1">
      <c r="A14" s="93">
        <v>2</v>
      </c>
      <c r="B14" s="312" t="s">
        <v>20</v>
      </c>
      <c r="C14" s="102" t="s">
        <v>82</v>
      </c>
      <c r="D14" s="414" t="s">
        <v>28</v>
      </c>
      <c r="E14" s="105">
        <f>COUNTIFS(Table1351452010[[#All],[Sales]],"คุณนิมิต จุ้ยอยู่ทอง",Table1351452010[[#All],[ค่าขายอุปกรณ์]],"&gt;1")</f>
        <v>0</v>
      </c>
      <c r="F14" s="313">
        <f>SUMIF(Table1351452010[[#All],[Sales]],"คุณนิมิต จุ้ยอยู่ทอง",Table1351452010[[#All],[Total
คอมฯ อุปกรณ์]])</f>
        <v>0</v>
      </c>
      <c r="G14" s="299">
        <v>0</v>
      </c>
      <c r="H14" s="300">
        <f t="shared" ref="H14:H24" si="10">F14-G14</f>
        <v>0</v>
      </c>
      <c r="I14" s="308"/>
      <c r="J14" s="307"/>
      <c r="K14" s="302"/>
      <c r="L14" s="314"/>
      <c r="M14" s="302"/>
      <c r="N14" s="302"/>
      <c r="O14" s="302"/>
      <c r="P14" s="302"/>
      <c r="Q14" s="302"/>
      <c r="R14" s="302"/>
      <c r="S14" s="302"/>
      <c r="T14" s="302"/>
      <c r="U14" s="302"/>
      <c r="V14" s="302"/>
      <c r="W14" s="302"/>
      <c r="X14" s="302"/>
      <c r="Y14" s="302"/>
      <c r="Z14" s="302"/>
      <c r="AA14" s="302"/>
      <c r="AB14" s="302"/>
      <c r="AC14" s="302"/>
      <c r="AD14" s="302"/>
      <c r="AE14" s="302"/>
      <c r="AF14" s="302"/>
      <c r="AG14" s="302"/>
      <c r="AH14" s="302"/>
      <c r="AI14" s="302"/>
      <c r="AJ14" s="302"/>
      <c r="AK14" s="302"/>
      <c r="AL14" s="302"/>
      <c r="AM14" s="302"/>
      <c r="AN14" s="302"/>
      <c r="AO14" s="302"/>
      <c r="AP14" s="302"/>
      <c r="AQ14" s="302"/>
      <c r="AR14" s="302"/>
      <c r="AS14" s="302"/>
      <c r="AT14" s="302"/>
      <c r="AU14" s="302"/>
      <c r="AV14" s="302"/>
      <c r="AW14" s="302"/>
      <c r="AX14" s="302"/>
      <c r="AY14" s="302"/>
      <c r="AZ14" s="302"/>
      <c r="BA14" s="302"/>
      <c r="BB14" s="302"/>
      <c r="BC14" s="302"/>
      <c r="BD14" s="302"/>
      <c r="BE14" s="302"/>
      <c r="BF14" s="302"/>
      <c r="BG14" s="302"/>
      <c r="BH14" s="302"/>
      <c r="BI14" s="302"/>
      <c r="BJ14" s="302"/>
      <c r="BK14" s="302"/>
      <c r="BL14" s="302"/>
      <c r="BM14" s="302"/>
      <c r="BN14" s="302"/>
      <c r="BO14" s="302"/>
      <c r="BP14" s="302"/>
      <c r="BQ14" s="302"/>
      <c r="BR14" s="302"/>
      <c r="BS14" s="302"/>
      <c r="BT14" s="302"/>
      <c r="BU14" s="302"/>
      <c r="BV14" s="302"/>
      <c r="BW14" s="302"/>
      <c r="BX14" s="302"/>
      <c r="BY14" s="302"/>
      <c r="BZ14" s="302"/>
      <c r="CA14" s="302"/>
      <c r="CB14" s="302"/>
      <c r="CC14" s="302"/>
      <c r="CD14" s="302"/>
      <c r="CE14" s="302"/>
      <c r="CF14" s="302"/>
      <c r="CG14" s="302"/>
      <c r="CH14" s="302"/>
      <c r="CI14" s="302"/>
      <c r="CJ14" s="302"/>
      <c r="CK14" s="302"/>
      <c r="CL14" s="302"/>
      <c r="CM14" s="302"/>
      <c r="CN14" s="302"/>
      <c r="CO14" s="302"/>
      <c r="CP14" s="302"/>
      <c r="CQ14" s="302"/>
      <c r="CR14" s="302"/>
      <c r="CS14" s="302"/>
      <c r="CT14" s="302"/>
      <c r="CU14" s="302"/>
      <c r="CV14" s="302"/>
      <c r="CW14" s="302"/>
      <c r="CX14" s="302"/>
      <c r="CY14" s="302"/>
      <c r="CZ14" s="302"/>
      <c r="DA14" s="302"/>
      <c r="DB14" s="302"/>
      <c r="DC14" s="302"/>
      <c r="DD14" s="302"/>
      <c r="DE14" s="302"/>
      <c r="DF14" s="302"/>
      <c r="DG14" s="302"/>
      <c r="DH14" s="302"/>
      <c r="DI14" s="302"/>
      <c r="DJ14" s="302"/>
      <c r="DK14" s="302"/>
      <c r="DL14" s="302"/>
      <c r="DM14" s="302"/>
      <c r="DN14" s="302"/>
      <c r="DO14" s="302"/>
      <c r="DP14" s="302"/>
      <c r="DQ14" s="302"/>
      <c r="DR14" s="302"/>
      <c r="DS14" s="302"/>
      <c r="DT14" s="302"/>
      <c r="DU14" s="302"/>
      <c r="DV14" s="302"/>
      <c r="DW14" s="302"/>
      <c r="DX14" s="302"/>
      <c r="DY14" s="302"/>
      <c r="DZ14" s="302"/>
      <c r="EA14" s="302"/>
      <c r="EB14" s="302"/>
      <c r="EC14" s="302"/>
      <c r="ED14" s="302"/>
      <c r="EE14" s="302"/>
      <c r="EF14" s="302"/>
      <c r="EG14" s="302"/>
      <c r="EH14" s="302"/>
      <c r="EI14" s="302"/>
      <c r="EJ14" s="302"/>
      <c r="EK14" s="302"/>
      <c r="EL14" s="302"/>
      <c r="EM14" s="302"/>
      <c r="EN14" s="302"/>
      <c r="EO14" s="302"/>
      <c r="EP14" s="302"/>
      <c r="EQ14" s="302"/>
      <c r="ER14" s="302"/>
      <c r="ES14" s="302"/>
      <c r="ET14" s="302"/>
      <c r="EU14" s="302"/>
      <c r="EV14" s="302"/>
      <c r="EW14" s="302"/>
      <c r="EX14" s="302"/>
      <c r="EY14" s="302"/>
      <c r="EZ14" s="302"/>
      <c r="FA14" s="302"/>
      <c r="FB14" s="302"/>
      <c r="FC14" s="302"/>
      <c r="FD14" s="302"/>
      <c r="FE14" s="302"/>
      <c r="FF14" s="302"/>
      <c r="FG14" s="302"/>
      <c r="FH14" s="302"/>
      <c r="FI14" s="302"/>
      <c r="FJ14" s="302"/>
      <c r="FK14" s="302"/>
      <c r="FL14" s="302"/>
      <c r="FM14" s="302"/>
      <c r="FN14" s="302"/>
      <c r="FO14" s="302"/>
      <c r="FP14" s="302"/>
      <c r="FQ14" s="302"/>
      <c r="FR14" s="302"/>
      <c r="FS14" s="302"/>
      <c r="FT14" s="302"/>
      <c r="FU14" s="302"/>
      <c r="FV14" s="302"/>
      <c r="FW14" s="302"/>
      <c r="FX14" s="302"/>
      <c r="FY14" s="302"/>
      <c r="FZ14" s="302"/>
      <c r="GA14" s="302"/>
      <c r="GB14" s="302"/>
      <c r="GC14" s="302"/>
      <c r="GD14" s="302"/>
      <c r="GE14" s="302"/>
      <c r="GF14" s="302"/>
      <c r="GG14" s="302"/>
      <c r="GH14" s="302"/>
      <c r="GI14" s="302"/>
      <c r="GJ14" s="302"/>
      <c r="GK14" s="302"/>
      <c r="GL14" s="302"/>
      <c r="GM14" s="302"/>
      <c r="GN14" s="302"/>
      <c r="GO14" s="302"/>
      <c r="GP14" s="302"/>
      <c r="GQ14" s="302"/>
      <c r="GR14" s="302"/>
      <c r="GS14" s="302"/>
      <c r="GT14" s="302"/>
      <c r="GU14" s="302"/>
      <c r="GV14" s="302"/>
      <c r="GW14" s="302"/>
      <c r="GX14" s="302"/>
      <c r="GY14" s="302"/>
      <c r="GZ14" s="302"/>
      <c r="HA14" s="302"/>
      <c r="HB14" s="302"/>
      <c r="HC14" s="302"/>
      <c r="HD14" s="302"/>
      <c r="HE14" s="302"/>
      <c r="HF14" s="302"/>
      <c r="HG14" s="302"/>
      <c r="HH14" s="302"/>
      <c r="HI14" s="302"/>
      <c r="HJ14" s="302"/>
      <c r="HK14" s="302"/>
      <c r="HL14" s="302"/>
      <c r="HM14" s="302"/>
      <c r="HN14" s="302"/>
      <c r="HO14" s="302"/>
      <c r="HP14" s="302"/>
      <c r="HQ14" s="302"/>
      <c r="HR14" s="302"/>
      <c r="HS14" s="302"/>
      <c r="HT14" s="302"/>
      <c r="HU14" s="302"/>
      <c r="HV14" s="302"/>
      <c r="HW14" s="302"/>
      <c r="HX14" s="302"/>
      <c r="HY14" s="302"/>
      <c r="HZ14" s="302"/>
      <c r="IA14" s="302"/>
      <c r="IB14" s="302"/>
      <c r="IC14" s="302"/>
      <c r="ID14" s="302"/>
      <c r="IE14" s="302"/>
      <c r="IF14" s="302"/>
      <c r="IG14" s="302"/>
      <c r="IH14" s="302"/>
      <c r="II14" s="302"/>
      <c r="IJ14" s="302"/>
      <c r="IK14" s="302"/>
      <c r="IL14" s="302"/>
    </row>
    <row r="15" spans="1:246" s="318" customFormat="1" ht="19.95" customHeight="1">
      <c r="A15" s="94"/>
      <c r="B15" s="316"/>
      <c r="C15" s="102" t="s">
        <v>83</v>
      </c>
      <c r="D15" s="317"/>
      <c r="E15" s="105">
        <f>COUNTIFS(Table1351452010[[#All],[Sales]],"คุณธวัช มีแสง",Table1351452010[[#All],[ค่าขายอุปกรณ์]],"&gt;1")</f>
        <v>0</v>
      </c>
      <c r="F15" s="313">
        <f>SUMIF(Table1351452010[[#All],[Sales]],"คุณธวัช มีแสง",Table1351452010[[#All],[Total
คอมฯ อุปกรณ์]])</f>
        <v>0</v>
      </c>
      <c r="G15" s="299">
        <v>0</v>
      </c>
      <c r="H15" s="300">
        <f t="shared" ref="H15:H19" si="11">F15-G15</f>
        <v>0</v>
      </c>
      <c r="I15" s="308"/>
      <c r="J15" s="307"/>
      <c r="K15" s="302"/>
      <c r="L15" s="302"/>
      <c r="M15" s="302"/>
      <c r="N15" s="302"/>
      <c r="O15" s="302"/>
      <c r="P15" s="302"/>
      <c r="Q15" s="302"/>
      <c r="R15" s="302"/>
      <c r="S15" s="302"/>
      <c r="T15" s="302"/>
      <c r="U15" s="302"/>
      <c r="V15" s="302"/>
      <c r="W15" s="302"/>
      <c r="X15" s="302"/>
      <c r="Y15" s="302"/>
      <c r="Z15" s="302"/>
      <c r="AA15" s="302"/>
      <c r="AB15" s="302"/>
      <c r="AC15" s="302"/>
      <c r="AD15" s="302"/>
      <c r="AE15" s="302"/>
      <c r="AF15" s="302"/>
      <c r="AG15" s="302"/>
      <c r="AH15" s="302"/>
      <c r="AI15" s="302"/>
      <c r="AJ15" s="302"/>
      <c r="AK15" s="302"/>
      <c r="AL15" s="302"/>
      <c r="AM15" s="302"/>
      <c r="AN15" s="302"/>
      <c r="AO15" s="302"/>
      <c r="AP15" s="302"/>
      <c r="AQ15" s="302"/>
      <c r="AR15" s="302"/>
      <c r="AS15" s="302"/>
      <c r="AT15" s="302"/>
      <c r="AU15" s="302"/>
      <c r="AV15" s="302"/>
      <c r="AW15" s="302"/>
      <c r="AX15" s="302"/>
      <c r="AY15" s="302"/>
      <c r="AZ15" s="302"/>
      <c r="BA15" s="302"/>
      <c r="BB15" s="302"/>
      <c r="BC15" s="302"/>
      <c r="BD15" s="302"/>
      <c r="BE15" s="302"/>
      <c r="BF15" s="302"/>
      <c r="BG15" s="302"/>
      <c r="BH15" s="302"/>
      <c r="BI15" s="302"/>
      <c r="BJ15" s="302"/>
      <c r="BK15" s="302"/>
      <c r="BL15" s="302"/>
      <c r="BM15" s="302"/>
      <c r="BN15" s="302"/>
      <c r="BO15" s="302"/>
      <c r="BP15" s="302"/>
      <c r="BQ15" s="302"/>
      <c r="BR15" s="302"/>
      <c r="BS15" s="302"/>
      <c r="BT15" s="302"/>
      <c r="BU15" s="302"/>
      <c r="BV15" s="302"/>
      <c r="BW15" s="302"/>
      <c r="BX15" s="302"/>
      <c r="BY15" s="302"/>
      <c r="BZ15" s="302"/>
      <c r="CA15" s="302"/>
      <c r="CB15" s="302"/>
      <c r="CC15" s="302"/>
      <c r="CD15" s="302"/>
      <c r="CE15" s="302"/>
      <c r="CF15" s="302"/>
      <c r="CG15" s="302"/>
      <c r="CH15" s="302"/>
      <c r="CI15" s="302"/>
      <c r="CJ15" s="302"/>
      <c r="CK15" s="302"/>
      <c r="CL15" s="302"/>
      <c r="CM15" s="302"/>
      <c r="CN15" s="302"/>
      <c r="CO15" s="302"/>
      <c r="CP15" s="302"/>
      <c r="CQ15" s="302"/>
      <c r="CR15" s="302"/>
      <c r="CS15" s="302"/>
      <c r="CT15" s="302"/>
      <c r="CU15" s="302"/>
      <c r="CV15" s="302"/>
      <c r="CW15" s="302"/>
      <c r="CX15" s="302"/>
      <c r="CY15" s="302"/>
      <c r="CZ15" s="302"/>
      <c r="DA15" s="302"/>
      <c r="DB15" s="302"/>
      <c r="DC15" s="302"/>
      <c r="DD15" s="302"/>
      <c r="DE15" s="302"/>
      <c r="DF15" s="302"/>
      <c r="DG15" s="302"/>
      <c r="DH15" s="302"/>
      <c r="DI15" s="302"/>
      <c r="DJ15" s="302"/>
      <c r="DK15" s="302"/>
      <c r="DL15" s="302"/>
      <c r="DM15" s="302"/>
      <c r="DN15" s="302"/>
      <c r="DO15" s="302"/>
      <c r="DP15" s="302"/>
      <c r="DQ15" s="302"/>
      <c r="DR15" s="302"/>
      <c r="DS15" s="302"/>
      <c r="DT15" s="302"/>
      <c r="DU15" s="302"/>
      <c r="DV15" s="302"/>
      <c r="DW15" s="302"/>
      <c r="DX15" s="302"/>
      <c r="DY15" s="302"/>
      <c r="DZ15" s="302"/>
      <c r="EA15" s="302"/>
      <c r="EB15" s="302"/>
      <c r="EC15" s="302"/>
      <c r="ED15" s="302"/>
      <c r="EE15" s="302"/>
      <c r="EF15" s="302"/>
      <c r="EG15" s="302"/>
      <c r="EH15" s="302"/>
      <c r="EI15" s="302"/>
      <c r="EJ15" s="302"/>
      <c r="EK15" s="302"/>
      <c r="EL15" s="302"/>
      <c r="EM15" s="302"/>
      <c r="EN15" s="302"/>
      <c r="EO15" s="302"/>
      <c r="EP15" s="302"/>
      <c r="EQ15" s="302"/>
      <c r="ER15" s="302"/>
      <c r="ES15" s="302"/>
      <c r="ET15" s="302"/>
      <c r="EU15" s="302"/>
      <c r="EV15" s="302"/>
      <c r="EW15" s="302"/>
      <c r="EX15" s="302"/>
      <c r="EY15" s="302"/>
      <c r="EZ15" s="302"/>
      <c r="FA15" s="302"/>
      <c r="FB15" s="302"/>
      <c r="FC15" s="302"/>
      <c r="FD15" s="302"/>
      <c r="FE15" s="302"/>
      <c r="FF15" s="302"/>
      <c r="FG15" s="302"/>
      <c r="FH15" s="302"/>
      <c r="FI15" s="302"/>
      <c r="FJ15" s="302"/>
      <c r="FK15" s="302"/>
      <c r="FL15" s="302"/>
      <c r="FM15" s="302"/>
      <c r="FN15" s="302"/>
      <c r="FO15" s="302"/>
      <c r="FP15" s="302"/>
      <c r="FQ15" s="302"/>
      <c r="FR15" s="302"/>
      <c r="FS15" s="302"/>
      <c r="FT15" s="302"/>
      <c r="FU15" s="302"/>
      <c r="FV15" s="302"/>
      <c r="FW15" s="302"/>
      <c r="FX15" s="302"/>
      <c r="FY15" s="302"/>
      <c r="FZ15" s="302"/>
      <c r="GA15" s="302"/>
      <c r="GB15" s="302"/>
      <c r="GC15" s="302"/>
      <c r="GD15" s="302"/>
      <c r="GE15" s="302"/>
      <c r="GF15" s="302"/>
      <c r="GG15" s="302"/>
      <c r="GH15" s="302"/>
      <c r="GI15" s="302"/>
      <c r="GJ15" s="302"/>
      <c r="GK15" s="302"/>
      <c r="GL15" s="302"/>
      <c r="GM15" s="302"/>
      <c r="GN15" s="302"/>
      <c r="GO15" s="302"/>
      <c r="GP15" s="302"/>
      <c r="GQ15" s="302"/>
      <c r="GR15" s="302"/>
      <c r="GS15" s="302"/>
      <c r="GT15" s="302"/>
      <c r="GU15" s="302"/>
      <c r="GV15" s="302"/>
      <c r="GW15" s="302"/>
      <c r="GX15" s="302"/>
      <c r="GY15" s="302"/>
      <c r="GZ15" s="302"/>
      <c r="HA15" s="302"/>
      <c r="HB15" s="302"/>
      <c r="HC15" s="302"/>
      <c r="HD15" s="302"/>
      <c r="HE15" s="302"/>
      <c r="HF15" s="302"/>
      <c r="HG15" s="302"/>
      <c r="HH15" s="302"/>
      <c r="HI15" s="302"/>
      <c r="HJ15" s="302"/>
      <c r="HK15" s="302"/>
      <c r="HL15" s="302"/>
      <c r="HM15" s="302"/>
      <c r="HN15" s="302"/>
      <c r="HO15" s="302"/>
      <c r="HP15" s="302"/>
      <c r="HQ15" s="302"/>
      <c r="HR15" s="302"/>
      <c r="HS15" s="302"/>
      <c r="HT15" s="302"/>
      <c r="HU15" s="302"/>
      <c r="HV15" s="302"/>
      <c r="HW15" s="302"/>
      <c r="HX15" s="302"/>
      <c r="HY15" s="302"/>
      <c r="HZ15" s="302"/>
      <c r="IA15" s="302"/>
      <c r="IB15" s="302"/>
      <c r="IC15" s="302"/>
      <c r="ID15" s="302"/>
      <c r="IE15" s="302"/>
      <c r="IF15" s="302"/>
      <c r="IG15" s="302"/>
      <c r="IH15" s="302"/>
      <c r="II15" s="302"/>
      <c r="IJ15" s="302"/>
      <c r="IK15" s="302"/>
      <c r="IL15" s="302"/>
    </row>
    <row r="16" spans="1:246" s="318" customFormat="1" ht="19.95" customHeight="1">
      <c r="A16" s="94"/>
      <c r="B16" s="316"/>
      <c r="C16" s="102" t="s">
        <v>84</v>
      </c>
      <c r="D16" s="317"/>
      <c r="E16" s="105">
        <f>COUNTIFS(Table1351452010[[#All],[Sales]],"คุณแดง มูลสองแคว",Table1351452010[[#All],[ค่าขายอุปกรณ์]],"&gt;1")</f>
        <v>0</v>
      </c>
      <c r="F16" s="313">
        <f>SUMIF(Table1351452010[[#All],[Sales]],"คุณแดง มูลสองแคว",Table1351452010[[#All],[Total
คอมฯ อุปกรณ์]])</f>
        <v>0</v>
      </c>
      <c r="G16" s="299">
        <v>0</v>
      </c>
      <c r="H16" s="300">
        <f t="shared" si="11"/>
        <v>0</v>
      </c>
      <c r="I16" s="308"/>
      <c r="J16" s="307"/>
      <c r="K16" s="302"/>
      <c r="L16" s="302"/>
      <c r="M16" s="302"/>
      <c r="N16" s="302"/>
      <c r="O16" s="302"/>
      <c r="P16" s="302"/>
      <c r="Q16" s="302"/>
      <c r="R16" s="302"/>
      <c r="S16" s="302"/>
      <c r="T16" s="302"/>
      <c r="U16" s="302"/>
      <c r="V16" s="302"/>
      <c r="W16" s="302"/>
      <c r="X16" s="302"/>
      <c r="Y16" s="302"/>
      <c r="Z16" s="302"/>
      <c r="AA16" s="302"/>
      <c r="AB16" s="302"/>
      <c r="AC16" s="302"/>
      <c r="AD16" s="302"/>
      <c r="AE16" s="302"/>
      <c r="AF16" s="302"/>
      <c r="AG16" s="302"/>
      <c r="AH16" s="302"/>
      <c r="AI16" s="302"/>
      <c r="AJ16" s="302"/>
      <c r="AK16" s="302"/>
      <c r="AL16" s="302"/>
      <c r="AM16" s="302"/>
      <c r="AN16" s="302"/>
      <c r="AO16" s="302"/>
      <c r="AP16" s="302"/>
      <c r="AQ16" s="302"/>
      <c r="AR16" s="302"/>
      <c r="AS16" s="302"/>
      <c r="AT16" s="302"/>
      <c r="AU16" s="302"/>
      <c r="AV16" s="302"/>
      <c r="AW16" s="302"/>
      <c r="AX16" s="302"/>
      <c r="AY16" s="302"/>
      <c r="AZ16" s="302"/>
      <c r="BA16" s="302"/>
      <c r="BB16" s="302"/>
      <c r="BC16" s="302"/>
      <c r="BD16" s="302"/>
      <c r="BE16" s="302"/>
      <c r="BF16" s="302"/>
      <c r="BG16" s="302"/>
      <c r="BH16" s="302"/>
      <c r="BI16" s="302"/>
      <c r="BJ16" s="302"/>
      <c r="BK16" s="302"/>
      <c r="BL16" s="302"/>
      <c r="BM16" s="302"/>
      <c r="BN16" s="302"/>
      <c r="BO16" s="302"/>
      <c r="BP16" s="302"/>
      <c r="BQ16" s="302"/>
      <c r="BR16" s="302"/>
      <c r="BS16" s="302"/>
      <c r="BT16" s="302"/>
      <c r="BU16" s="302"/>
      <c r="BV16" s="302"/>
      <c r="BW16" s="302"/>
      <c r="BX16" s="302"/>
      <c r="BY16" s="302"/>
      <c r="BZ16" s="302"/>
      <c r="CA16" s="302"/>
      <c r="CB16" s="302"/>
      <c r="CC16" s="302"/>
      <c r="CD16" s="302"/>
      <c r="CE16" s="302"/>
      <c r="CF16" s="302"/>
      <c r="CG16" s="302"/>
      <c r="CH16" s="302"/>
      <c r="CI16" s="302"/>
      <c r="CJ16" s="302"/>
      <c r="CK16" s="302"/>
      <c r="CL16" s="302"/>
      <c r="CM16" s="302"/>
      <c r="CN16" s="302"/>
      <c r="CO16" s="302"/>
      <c r="CP16" s="302"/>
      <c r="CQ16" s="302"/>
      <c r="CR16" s="302"/>
      <c r="CS16" s="302"/>
      <c r="CT16" s="302"/>
      <c r="CU16" s="302"/>
      <c r="CV16" s="302"/>
      <c r="CW16" s="302"/>
      <c r="CX16" s="302"/>
      <c r="CY16" s="302"/>
      <c r="CZ16" s="302"/>
      <c r="DA16" s="302"/>
      <c r="DB16" s="302"/>
      <c r="DC16" s="302"/>
      <c r="DD16" s="302"/>
      <c r="DE16" s="302"/>
      <c r="DF16" s="302"/>
      <c r="DG16" s="302"/>
      <c r="DH16" s="302"/>
      <c r="DI16" s="302"/>
      <c r="DJ16" s="302"/>
      <c r="DK16" s="302"/>
      <c r="DL16" s="302"/>
      <c r="DM16" s="302"/>
      <c r="DN16" s="302"/>
      <c r="DO16" s="302"/>
      <c r="DP16" s="302"/>
      <c r="DQ16" s="302"/>
      <c r="DR16" s="302"/>
      <c r="DS16" s="302"/>
      <c r="DT16" s="302"/>
      <c r="DU16" s="302"/>
      <c r="DV16" s="302"/>
      <c r="DW16" s="302"/>
      <c r="DX16" s="302"/>
      <c r="DY16" s="302"/>
      <c r="DZ16" s="302"/>
      <c r="EA16" s="302"/>
      <c r="EB16" s="302"/>
      <c r="EC16" s="302"/>
      <c r="ED16" s="302"/>
      <c r="EE16" s="302"/>
      <c r="EF16" s="302"/>
      <c r="EG16" s="302"/>
      <c r="EH16" s="302"/>
      <c r="EI16" s="302"/>
      <c r="EJ16" s="302"/>
      <c r="EK16" s="302"/>
      <c r="EL16" s="302"/>
      <c r="EM16" s="302"/>
      <c r="EN16" s="302"/>
      <c r="EO16" s="302"/>
      <c r="EP16" s="302"/>
      <c r="EQ16" s="302"/>
      <c r="ER16" s="302"/>
      <c r="ES16" s="302"/>
      <c r="ET16" s="302"/>
      <c r="EU16" s="302"/>
      <c r="EV16" s="302"/>
      <c r="EW16" s="302"/>
      <c r="EX16" s="302"/>
      <c r="EY16" s="302"/>
      <c r="EZ16" s="302"/>
      <c r="FA16" s="302"/>
      <c r="FB16" s="302"/>
      <c r="FC16" s="302"/>
      <c r="FD16" s="302"/>
      <c r="FE16" s="302"/>
      <c r="FF16" s="302"/>
      <c r="FG16" s="302"/>
      <c r="FH16" s="302"/>
      <c r="FI16" s="302"/>
      <c r="FJ16" s="302"/>
      <c r="FK16" s="302"/>
      <c r="FL16" s="302"/>
      <c r="FM16" s="302"/>
      <c r="FN16" s="302"/>
      <c r="FO16" s="302"/>
      <c r="FP16" s="302"/>
      <c r="FQ16" s="302"/>
      <c r="FR16" s="302"/>
      <c r="FS16" s="302"/>
      <c r="FT16" s="302"/>
      <c r="FU16" s="302"/>
      <c r="FV16" s="302"/>
      <c r="FW16" s="302"/>
      <c r="FX16" s="302"/>
      <c r="FY16" s="302"/>
      <c r="FZ16" s="302"/>
      <c r="GA16" s="302"/>
      <c r="GB16" s="302"/>
      <c r="GC16" s="302"/>
      <c r="GD16" s="302"/>
      <c r="GE16" s="302"/>
      <c r="GF16" s="302"/>
      <c r="GG16" s="302"/>
      <c r="GH16" s="302"/>
      <c r="GI16" s="302"/>
      <c r="GJ16" s="302"/>
      <c r="GK16" s="302"/>
      <c r="GL16" s="302"/>
      <c r="GM16" s="302"/>
      <c r="GN16" s="302"/>
      <c r="GO16" s="302"/>
      <c r="GP16" s="302"/>
      <c r="GQ16" s="302"/>
      <c r="GR16" s="302"/>
      <c r="GS16" s="302"/>
      <c r="GT16" s="302"/>
      <c r="GU16" s="302"/>
      <c r="GV16" s="302"/>
      <c r="GW16" s="302"/>
      <c r="GX16" s="302"/>
      <c r="GY16" s="302"/>
      <c r="GZ16" s="302"/>
      <c r="HA16" s="302"/>
      <c r="HB16" s="302"/>
      <c r="HC16" s="302"/>
      <c r="HD16" s="302"/>
      <c r="HE16" s="302"/>
      <c r="HF16" s="302"/>
      <c r="HG16" s="302"/>
      <c r="HH16" s="302"/>
      <c r="HI16" s="302"/>
      <c r="HJ16" s="302"/>
      <c r="HK16" s="302"/>
      <c r="HL16" s="302"/>
      <c r="HM16" s="302"/>
      <c r="HN16" s="302"/>
      <c r="HO16" s="302"/>
      <c r="HP16" s="302"/>
      <c r="HQ16" s="302"/>
      <c r="HR16" s="302"/>
      <c r="HS16" s="302"/>
      <c r="HT16" s="302"/>
      <c r="HU16" s="302"/>
      <c r="HV16" s="302"/>
      <c r="HW16" s="302"/>
      <c r="HX16" s="302"/>
      <c r="HY16" s="302"/>
      <c r="HZ16" s="302"/>
      <c r="IA16" s="302"/>
      <c r="IB16" s="302"/>
      <c r="IC16" s="302"/>
      <c r="ID16" s="302"/>
      <c r="IE16" s="302"/>
      <c r="IF16" s="302"/>
      <c r="IG16" s="302"/>
      <c r="IH16" s="302"/>
      <c r="II16" s="302"/>
      <c r="IJ16" s="302"/>
      <c r="IK16" s="302"/>
      <c r="IL16" s="302"/>
    </row>
    <row r="17" spans="1:246" s="318" customFormat="1" ht="19.95" customHeight="1">
      <c r="A17" s="94"/>
      <c r="B17" s="316"/>
      <c r="C17" s="177" t="s">
        <v>85</v>
      </c>
      <c r="D17" s="317"/>
      <c r="E17" s="105">
        <f>COUNTIFS(Table1351452010[[#All],[Sales]],"คุณนิยนต์ อยู่ทะเล",Table1351452010[[#All],[ค่าขายอุปกรณ์]],"&gt;1")</f>
        <v>0</v>
      </c>
      <c r="F17" s="313">
        <f>SUMIF(Table1351452010[[#All],[Sales]],"คุณนิยนต์ อยู่ทะเล",Table1351452010[[#All],[Total
คอมฯ อุปกรณ์]])</f>
        <v>0</v>
      </c>
      <c r="G17" s="299">
        <v>0</v>
      </c>
      <c r="H17" s="300">
        <f t="shared" si="11"/>
        <v>0</v>
      </c>
      <c r="I17" s="308"/>
      <c r="J17" s="307"/>
      <c r="K17" s="302"/>
      <c r="L17" s="302"/>
      <c r="M17" s="302"/>
      <c r="N17" s="302"/>
      <c r="O17" s="302"/>
      <c r="P17" s="302"/>
      <c r="Q17" s="302"/>
      <c r="R17" s="302"/>
      <c r="S17" s="302"/>
      <c r="T17" s="302"/>
      <c r="U17" s="302"/>
      <c r="V17" s="302"/>
      <c r="W17" s="302"/>
      <c r="X17" s="302"/>
      <c r="Y17" s="302"/>
      <c r="Z17" s="302"/>
      <c r="AA17" s="302"/>
      <c r="AB17" s="302"/>
      <c r="AC17" s="302"/>
      <c r="AD17" s="302"/>
      <c r="AE17" s="302"/>
      <c r="AF17" s="302"/>
      <c r="AG17" s="302"/>
      <c r="AH17" s="302"/>
      <c r="AI17" s="302"/>
      <c r="AJ17" s="302"/>
      <c r="AK17" s="302"/>
      <c r="AL17" s="302"/>
      <c r="AM17" s="302"/>
      <c r="AN17" s="302"/>
      <c r="AO17" s="302"/>
      <c r="AP17" s="302"/>
      <c r="AQ17" s="302"/>
      <c r="AR17" s="302"/>
      <c r="AS17" s="302"/>
      <c r="AT17" s="302"/>
      <c r="AU17" s="302"/>
      <c r="AV17" s="302"/>
      <c r="AW17" s="302"/>
      <c r="AX17" s="302"/>
      <c r="AY17" s="302"/>
      <c r="AZ17" s="302"/>
      <c r="BA17" s="302"/>
      <c r="BB17" s="302"/>
      <c r="BC17" s="302"/>
      <c r="BD17" s="302"/>
      <c r="BE17" s="302"/>
      <c r="BF17" s="302"/>
      <c r="BG17" s="302"/>
      <c r="BH17" s="302"/>
      <c r="BI17" s="302"/>
      <c r="BJ17" s="302"/>
      <c r="BK17" s="302"/>
      <c r="BL17" s="302"/>
      <c r="BM17" s="302"/>
      <c r="BN17" s="302"/>
      <c r="BO17" s="302"/>
      <c r="BP17" s="302"/>
      <c r="BQ17" s="302"/>
      <c r="BR17" s="302"/>
      <c r="BS17" s="302"/>
      <c r="BT17" s="302"/>
      <c r="BU17" s="302"/>
      <c r="BV17" s="302"/>
      <c r="BW17" s="302"/>
      <c r="BX17" s="302"/>
      <c r="BY17" s="302"/>
      <c r="BZ17" s="302"/>
      <c r="CA17" s="302"/>
      <c r="CB17" s="302"/>
      <c r="CC17" s="302"/>
      <c r="CD17" s="302"/>
      <c r="CE17" s="302"/>
      <c r="CF17" s="302"/>
      <c r="CG17" s="302"/>
      <c r="CH17" s="302"/>
      <c r="CI17" s="302"/>
      <c r="CJ17" s="302"/>
      <c r="CK17" s="302"/>
      <c r="CL17" s="302"/>
      <c r="CM17" s="302"/>
      <c r="CN17" s="302"/>
      <c r="CO17" s="302"/>
      <c r="CP17" s="302"/>
      <c r="CQ17" s="302"/>
      <c r="CR17" s="302"/>
      <c r="CS17" s="302"/>
      <c r="CT17" s="302"/>
      <c r="CU17" s="302"/>
      <c r="CV17" s="302"/>
      <c r="CW17" s="302"/>
      <c r="CX17" s="302"/>
      <c r="CY17" s="302"/>
      <c r="CZ17" s="302"/>
      <c r="DA17" s="302"/>
      <c r="DB17" s="302"/>
      <c r="DC17" s="302"/>
      <c r="DD17" s="302"/>
      <c r="DE17" s="302"/>
      <c r="DF17" s="302"/>
      <c r="DG17" s="302"/>
      <c r="DH17" s="302"/>
      <c r="DI17" s="302"/>
      <c r="DJ17" s="302"/>
      <c r="DK17" s="302"/>
      <c r="DL17" s="302"/>
      <c r="DM17" s="302"/>
      <c r="DN17" s="302"/>
      <c r="DO17" s="302"/>
      <c r="DP17" s="302"/>
      <c r="DQ17" s="302"/>
      <c r="DR17" s="302"/>
      <c r="DS17" s="302"/>
      <c r="DT17" s="302"/>
      <c r="DU17" s="302"/>
      <c r="DV17" s="302"/>
      <c r="DW17" s="302"/>
      <c r="DX17" s="302"/>
      <c r="DY17" s="302"/>
      <c r="DZ17" s="302"/>
      <c r="EA17" s="302"/>
      <c r="EB17" s="302"/>
      <c r="EC17" s="302"/>
      <c r="ED17" s="302"/>
      <c r="EE17" s="302"/>
      <c r="EF17" s="302"/>
      <c r="EG17" s="302"/>
      <c r="EH17" s="302"/>
      <c r="EI17" s="302"/>
      <c r="EJ17" s="302"/>
      <c r="EK17" s="302"/>
      <c r="EL17" s="302"/>
      <c r="EM17" s="302"/>
      <c r="EN17" s="302"/>
      <c r="EO17" s="302"/>
      <c r="EP17" s="302"/>
      <c r="EQ17" s="302"/>
      <c r="ER17" s="302"/>
      <c r="ES17" s="302"/>
      <c r="ET17" s="302"/>
      <c r="EU17" s="302"/>
      <c r="EV17" s="302"/>
      <c r="EW17" s="302"/>
      <c r="EX17" s="302"/>
      <c r="EY17" s="302"/>
      <c r="EZ17" s="302"/>
      <c r="FA17" s="302"/>
      <c r="FB17" s="302"/>
      <c r="FC17" s="302"/>
      <c r="FD17" s="302"/>
      <c r="FE17" s="302"/>
      <c r="FF17" s="302"/>
      <c r="FG17" s="302"/>
      <c r="FH17" s="302"/>
      <c r="FI17" s="302"/>
      <c r="FJ17" s="302"/>
      <c r="FK17" s="302"/>
      <c r="FL17" s="302"/>
      <c r="FM17" s="302"/>
      <c r="FN17" s="302"/>
      <c r="FO17" s="302"/>
      <c r="FP17" s="302"/>
      <c r="FQ17" s="302"/>
      <c r="FR17" s="302"/>
      <c r="FS17" s="302"/>
      <c r="FT17" s="302"/>
      <c r="FU17" s="302"/>
      <c r="FV17" s="302"/>
      <c r="FW17" s="302"/>
      <c r="FX17" s="302"/>
      <c r="FY17" s="302"/>
      <c r="FZ17" s="302"/>
      <c r="GA17" s="302"/>
      <c r="GB17" s="302"/>
      <c r="GC17" s="302"/>
      <c r="GD17" s="302"/>
      <c r="GE17" s="302"/>
      <c r="GF17" s="302"/>
      <c r="GG17" s="302"/>
      <c r="GH17" s="302"/>
      <c r="GI17" s="302"/>
      <c r="GJ17" s="302"/>
      <c r="GK17" s="302"/>
      <c r="GL17" s="302"/>
      <c r="GM17" s="302"/>
      <c r="GN17" s="302"/>
      <c r="GO17" s="302"/>
      <c r="GP17" s="302"/>
      <c r="GQ17" s="302"/>
      <c r="GR17" s="302"/>
      <c r="GS17" s="302"/>
      <c r="GT17" s="302"/>
      <c r="GU17" s="302"/>
      <c r="GV17" s="302"/>
      <c r="GW17" s="302"/>
      <c r="GX17" s="302"/>
      <c r="GY17" s="302"/>
      <c r="GZ17" s="302"/>
      <c r="HA17" s="302"/>
      <c r="HB17" s="302"/>
      <c r="HC17" s="302"/>
      <c r="HD17" s="302"/>
      <c r="HE17" s="302"/>
      <c r="HF17" s="302"/>
      <c r="HG17" s="302"/>
      <c r="HH17" s="302"/>
      <c r="HI17" s="302"/>
      <c r="HJ17" s="302"/>
      <c r="HK17" s="302"/>
      <c r="HL17" s="302"/>
      <c r="HM17" s="302"/>
      <c r="HN17" s="302"/>
      <c r="HO17" s="302"/>
      <c r="HP17" s="302"/>
      <c r="HQ17" s="302"/>
      <c r="HR17" s="302"/>
      <c r="HS17" s="302"/>
      <c r="HT17" s="302"/>
      <c r="HU17" s="302"/>
      <c r="HV17" s="302"/>
      <c r="HW17" s="302"/>
      <c r="HX17" s="302"/>
      <c r="HY17" s="302"/>
      <c r="HZ17" s="302"/>
      <c r="IA17" s="302"/>
      <c r="IB17" s="302"/>
      <c r="IC17" s="302"/>
      <c r="ID17" s="302"/>
      <c r="IE17" s="302"/>
      <c r="IF17" s="302"/>
      <c r="IG17" s="302"/>
      <c r="IH17" s="302"/>
      <c r="II17" s="302"/>
      <c r="IJ17" s="302"/>
      <c r="IK17" s="302"/>
      <c r="IL17" s="302"/>
    </row>
    <row r="18" spans="1:246" s="318" customFormat="1" ht="19.95" customHeight="1">
      <c r="A18" s="94"/>
      <c r="B18" s="316"/>
      <c r="C18" s="181" t="s">
        <v>78</v>
      </c>
      <c r="D18" s="317"/>
      <c r="E18" s="105">
        <f>COUNTIFS(Table1351452010[[#All],[Sales]],"คุณรุ่งอรุณ อินบุญรอด",Table1351452010[[#All],[ค่าขายอุปกรณ์]],"&gt;1")</f>
        <v>0</v>
      </c>
      <c r="F18" s="313">
        <f>SUMIF(Table1351452010[[#All],[Sales]],"คุณรุ่งอรุณ อินบุญรอด",Table1351452010[[#All],[Total
คอมฯ อุปกรณ์]])</f>
        <v>0</v>
      </c>
      <c r="G18" s="299">
        <v>0</v>
      </c>
      <c r="H18" s="300">
        <f t="shared" si="11"/>
        <v>0</v>
      </c>
      <c r="I18" s="308"/>
      <c r="J18" s="307"/>
      <c r="K18" s="302"/>
      <c r="L18" s="302"/>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302"/>
      <c r="AM18" s="302"/>
      <c r="AN18" s="302"/>
      <c r="AO18" s="302"/>
      <c r="AP18" s="302"/>
      <c r="AQ18" s="302"/>
      <c r="AR18" s="302"/>
      <c r="AS18" s="302"/>
      <c r="AT18" s="302"/>
      <c r="AU18" s="302"/>
      <c r="AV18" s="302"/>
      <c r="AW18" s="302"/>
      <c r="AX18" s="302"/>
      <c r="AY18" s="302"/>
      <c r="AZ18" s="302"/>
      <c r="BA18" s="302"/>
      <c r="BB18" s="302"/>
      <c r="BC18" s="302"/>
      <c r="BD18" s="302"/>
      <c r="BE18" s="302"/>
      <c r="BF18" s="302"/>
      <c r="BG18" s="302"/>
      <c r="BH18" s="302"/>
      <c r="BI18" s="302"/>
      <c r="BJ18" s="302"/>
      <c r="BK18" s="302"/>
      <c r="BL18" s="302"/>
      <c r="BM18" s="302"/>
      <c r="BN18" s="302"/>
      <c r="BO18" s="302"/>
      <c r="BP18" s="302"/>
      <c r="BQ18" s="302"/>
      <c r="BR18" s="302"/>
      <c r="BS18" s="302"/>
      <c r="BT18" s="302"/>
      <c r="BU18" s="302"/>
      <c r="BV18" s="302"/>
      <c r="BW18" s="302"/>
      <c r="BX18" s="302"/>
      <c r="BY18" s="302"/>
      <c r="BZ18" s="302"/>
      <c r="CA18" s="302"/>
      <c r="CB18" s="302"/>
      <c r="CC18" s="302"/>
      <c r="CD18" s="302"/>
      <c r="CE18" s="302"/>
      <c r="CF18" s="302"/>
      <c r="CG18" s="302"/>
      <c r="CH18" s="302"/>
      <c r="CI18" s="302"/>
      <c r="CJ18" s="302"/>
      <c r="CK18" s="302"/>
      <c r="CL18" s="302"/>
      <c r="CM18" s="302"/>
      <c r="CN18" s="302"/>
      <c r="CO18" s="302"/>
      <c r="CP18" s="302"/>
      <c r="CQ18" s="302"/>
      <c r="CR18" s="302"/>
      <c r="CS18" s="302"/>
      <c r="CT18" s="302"/>
      <c r="CU18" s="302"/>
      <c r="CV18" s="302"/>
      <c r="CW18" s="302"/>
      <c r="CX18" s="302"/>
      <c r="CY18" s="302"/>
      <c r="CZ18" s="302"/>
      <c r="DA18" s="302"/>
      <c r="DB18" s="302"/>
      <c r="DC18" s="302"/>
      <c r="DD18" s="302"/>
      <c r="DE18" s="302"/>
      <c r="DF18" s="302"/>
      <c r="DG18" s="302"/>
      <c r="DH18" s="302"/>
      <c r="DI18" s="302"/>
      <c r="DJ18" s="302"/>
      <c r="DK18" s="302"/>
      <c r="DL18" s="302"/>
      <c r="DM18" s="302"/>
      <c r="DN18" s="302"/>
      <c r="DO18" s="302"/>
      <c r="DP18" s="302"/>
      <c r="DQ18" s="302"/>
      <c r="DR18" s="302"/>
      <c r="DS18" s="302"/>
      <c r="DT18" s="302"/>
      <c r="DU18" s="302"/>
      <c r="DV18" s="302"/>
      <c r="DW18" s="302"/>
      <c r="DX18" s="302"/>
      <c r="DY18" s="302"/>
      <c r="DZ18" s="302"/>
      <c r="EA18" s="302"/>
      <c r="EB18" s="302"/>
      <c r="EC18" s="302"/>
      <c r="ED18" s="302"/>
      <c r="EE18" s="302"/>
      <c r="EF18" s="302"/>
      <c r="EG18" s="302"/>
      <c r="EH18" s="302"/>
      <c r="EI18" s="302"/>
      <c r="EJ18" s="302"/>
      <c r="EK18" s="302"/>
      <c r="EL18" s="302"/>
      <c r="EM18" s="302"/>
      <c r="EN18" s="302"/>
      <c r="EO18" s="302"/>
      <c r="EP18" s="302"/>
      <c r="EQ18" s="302"/>
      <c r="ER18" s="302"/>
      <c r="ES18" s="302"/>
      <c r="ET18" s="302"/>
      <c r="EU18" s="302"/>
      <c r="EV18" s="302"/>
      <c r="EW18" s="302"/>
      <c r="EX18" s="302"/>
      <c r="EY18" s="302"/>
      <c r="EZ18" s="302"/>
      <c r="FA18" s="302"/>
      <c r="FB18" s="302"/>
      <c r="FC18" s="302"/>
      <c r="FD18" s="302"/>
      <c r="FE18" s="302"/>
      <c r="FF18" s="302"/>
      <c r="FG18" s="302"/>
      <c r="FH18" s="302"/>
      <c r="FI18" s="302"/>
      <c r="FJ18" s="302"/>
      <c r="FK18" s="302"/>
      <c r="FL18" s="302"/>
      <c r="FM18" s="302"/>
      <c r="FN18" s="302"/>
      <c r="FO18" s="302"/>
      <c r="FP18" s="302"/>
      <c r="FQ18" s="302"/>
      <c r="FR18" s="302"/>
      <c r="FS18" s="302"/>
      <c r="FT18" s="302"/>
      <c r="FU18" s="302"/>
      <c r="FV18" s="302"/>
      <c r="FW18" s="302"/>
      <c r="FX18" s="302"/>
      <c r="FY18" s="302"/>
      <c r="FZ18" s="302"/>
      <c r="GA18" s="302"/>
      <c r="GB18" s="302"/>
      <c r="GC18" s="302"/>
      <c r="GD18" s="302"/>
      <c r="GE18" s="302"/>
      <c r="GF18" s="302"/>
      <c r="GG18" s="302"/>
      <c r="GH18" s="302"/>
      <c r="GI18" s="302"/>
      <c r="GJ18" s="302"/>
      <c r="GK18" s="302"/>
      <c r="GL18" s="302"/>
      <c r="GM18" s="302"/>
      <c r="GN18" s="302"/>
      <c r="GO18" s="302"/>
      <c r="GP18" s="302"/>
      <c r="GQ18" s="302"/>
      <c r="GR18" s="302"/>
      <c r="GS18" s="302"/>
      <c r="GT18" s="302"/>
      <c r="GU18" s="302"/>
      <c r="GV18" s="302"/>
      <c r="GW18" s="302"/>
      <c r="GX18" s="302"/>
      <c r="GY18" s="302"/>
      <c r="GZ18" s="302"/>
      <c r="HA18" s="302"/>
      <c r="HB18" s="302"/>
      <c r="HC18" s="302"/>
      <c r="HD18" s="302"/>
      <c r="HE18" s="302"/>
      <c r="HF18" s="302"/>
      <c r="HG18" s="302"/>
      <c r="HH18" s="302"/>
      <c r="HI18" s="302"/>
      <c r="HJ18" s="302"/>
      <c r="HK18" s="302"/>
      <c r="HL18" s="302"/>
      <c r="HM18" s="302"/>
      <c r="HN18" s="302"/>
      <c r="HO18" s="302"/>
      <c r="HP18" s="302"/>
      <c r="HQ18" s="302"/>
      <c r="HR18" s="302"/>
      <c r="HS18" s="302"/>
      <c r="HT18" s="302"/>
      <c r="HU18" s="302"/>
      <c r="HV18" s="302"/>
      <c r="HW18" s="302"/>
      <c r="HX18" s="302"/>
      <c r="HY18" s="302"/>
      <c r="HZ18" s="302"/>
      <c r="IA18" s="302"/>
      <c r="IB18" s="302"/>
      <c r="IC18" s="302"/>
      <c r="ID18" s="302"/>
      <c r="IE18" s="302"/>
      <c r="IF18" s="302"/>
      <c r="IG18" s="302"/>
      <c r="IH18" s="302"/>
      <c r="II18" s="302"/>
      <c r="IJ18" s="302"/>
      <c r="IK18" s="302"/>
      <c r="IL18" s="302"/>
    </row>
    <row r="19" spans="1:246" s="318" customFormat="1" ht="19.95" customHeight="1">
      <c r="A19" s="94"/>
      <c r="B19" s="309"/>
      <c r="C19" s="102" t="s">
        <v>79</v>
      </c>
      <c r="D19" s="317"/>
      <c r="E19" s="105">
        <f>COUNTIFS(Table1351452010[[#All],[Sales]],"คุณศศินาถ จุ้ยอยู่ทอง",Table1351452010[[#All],[ค่าขายอุปกรณ์]],"&gt;1")</f>
        <v>0</v>
      </c>
      <c r="F19" s="313">
        <f>SUMIF(Table1351452010[[#All],[Sales]],"คุณศศินาถ จุ้ยอยู่ทอง",Table1351452010[[#All],[Total
คอมฯ อุปกรณ์]])</f>
        <v>0</v>
      </c>
      <c r="G19" s="299">
        <v>0</v>
      </c>
      <c r="H19" s="300">
        <f t="shared" si="11"/>
        <v>0</v>
      </c>
      <c r="I19" s="308"/>
      <c r="J19" s="307"/>
      <c r="K19" s="302"/>
      <c r="L19" s="302"/>
      <c r="M19" s="302"/>
      <c r="N19" s="302"/>
      <c r="O19" s="302"/>
      <c r="P19" s="302"/>
      <c r="Q19" s="302"/>
      <c r="R19" s="302"/>
      <c r="S19" s="302"/>
      <c r="T19" s="302"/>
      <c r="U19" s="302"/>
      <c r="V19" s="302"/>
      <c r="W19" s="302"/>
      <c r="X19" s="302"/>
      <c r="Y19" s="302"/>
      <c r="Z19" s="302"/>
      <c r="AA19" s="302"/>
      <c r="AB19" s="302"/>
      <c r="AC19" s="302"/>
      <c r="AD19" s="302"/>
      <c r="AE19" s="302"/>
      <c r="AF19" s="302"/>
      <c r="AG19" s="302"/>
      <c r="AH19" s="302"/>
      <c r="AI19" s="302"/>
      <c r="AJ19" s="302"/>
      <c r="AK19" s="302"/>
      <c r="AL19" s="302"/>
      <c r="AM19" s="302"/>
      <c r="AN19" s="302"/>
      <c r="AO19" s="302"/>
      <c r="AP19" s="302"/>
      <c r="AQ19" s="302"/>
      <c r="AR19" s="302"/>
      <c r="AS19" s="302"/>
      <c r="AT19" s="302"/>
      <c r="AU19" s="302"/>
      <c r="AV19" s="302"/>
      <c r="AW19" s="302"/>
      <c r="AX19" s="302"/>
      <c r="AY19" s="302"/>
      <c r="AZ19" s="302"/>
      <c r="BA19" s="302"/>
      <c r="BB19" s="302"/>
      <c r="BC19" s="302"/>
      <c r="BD19" s="302"/>
      <c r="BE19" s="302"/>
      <c r="BF19" s="302"/>
      <c r="BG19" s="302"/>
      <c r="BH19" s="302"/>
      <c r="BI19" s="302"/>
      <c r="BJ19" s="302"/>
      <c r="BK19" s="302"/>
      <c r="BL19" s="302"/>
      <c r="BM19" s="302"/>
      <c r="BN19" s="302"/>
      <c r="BO19" s="302"/>
      <c r="BP19" s="302"/>
      <c r="BQ19" s="302"/>
      <c r="BR19" s="302"/>
      <c r="BS19" s="302"/>
      <c r="BT19" s="302"/>
      <c r="BU19" s="302"/>
      <c r="BV19" s="302"/>
      <c r="BW19" s="302"/>
      <c r="BX19" s="302"/>
      <c r="BY19" s="302"/>
      <c r="BZ19" s="302"/>
      <c r="CA19" s="302"/>
      <c r="CB19" s="302"/>
      <c r="CC19" s="302"/>
      <c r="CD19" s="302"/>
      <c r="CE19" s="302"/>
      <c r="CF19" s="302"/>
      <c r="CG19" s="302"/>
      <c r="CH19" s="302"/>
      <c r="CI19" s="302"/>
      <c r="CJ19" s="302"/>
      <c r="CK19" s="302"/>
      <c r="CL19" s="302"/>
      <c r="CM19" s="302"/>
      <c r="CN19" s="302"/>
      <c r="CO19" s="302"/>
      <c r="CP19" s="302"/>
      <c r="CQ19" s="302"/>
      <c r="CR19" s="302"/>
      <c r="CS19" s="302"/>
      <c r="CT19" s="302"/>
      <c r="CU19" s="302"/>
      <c r="CV19" s="302"/>
      <c r="CW19" s="302"/>
      <c r="CX19" s="302"/>
      <c r="CY19" s="302"/>
      <c r="CZ19" s="302"/>
      <c r="DA19" s="302"/>
      <c r="DB19" s="302"/>
      <c r="DC19" s="302"/>
      <c r="DD19" s="302"/>
      <c r="DE19" s="302"/>
      <c r="DF19" s="302"/>
      <c r="DG19" s="302"/>
      <c r="DH19" s="302"/>
      <c r="DI19" s="302"/>
      <c r="DJ19" s="302"/>
      <c r="DK19" s="302"/>
      <c r="DL19" s="302"/>
      <c r="DM19" s="302"/>
      <c r="DN19" s="302"/>
      <c r="DO19" s="302"/>
      <c r="DP19" s="302"/>
      <c r="DQ19" s="302"/>
      <c r="DR19" s="302"/>
      <c r="DS19" s="302"/>
      <c r="DT19" s="302"/>
      <c r="DU19" s="302"/>
      <c r="DV19" s="302"/>
      <c r="DW19" s="302"/>
      <c r="DX19" s="302"/>
      <c r="DY19" s="302"/>
      <c r="DZ19" s="302"/>
      <c r="EA19" s="302"/>
      <c r="EB19" s="302"/>
      <c r="EC19" s="302"/>
      <c r="ED19" s="302"/>
      <c r="EE19" s="302"/>
      <c r="EF19" s="302"/>
      <c r="EG19" s="302"/>
      <c r="EH19" s="302"/>
      <c r="EI19" s="302"/>
      <c r="EJ19" s="302"/>
      <c r="EK19" s="302"/>
      <c r="EL19" s="302"/>
      <c r="EM19" s="302"/>
      <c r="EN19" s="302"/>
      <c r="EO19" s="302"/>
      <c r="EP19" s="302"/>
      <c r="EQ19" s="302"/>
      <c r="ER19" s="302"/>
      <c r="ES19" s="302"/>
      <c r="ET19" s="302"/>
      <c r="EU19" s="302"/>
      <c r="EV19" s="302"/>
      <c r="EW19" s="302"/>
      <c r="EX19" s="302"/>
      <c r="EY19" s="302"/>
      <c r="EZ19" s="302"/>
      <c r="FA19" s="302"/>
      <c r="FB19" s="302"/>
      <c r="FC19" s="302"/>
      <c r="FD19" s="302"/>
      <c r="FE19" s="302"/>
      <c r="FF19" s="302"/>
      <c r="FG19" s="302"/>
      <c r="FH19" s="302"/>
      <c r="FI19" s="302"/>
      <c r="FJ19" s="302"/>
      <c r="FK19" s="302"/>
      <c r="FL19" s="302"/>
      <c r="FM19" s="302"/>
      <c r="FN19" s="302"/>
      <c r="FO19" s="302"/>
      <c r="FP19" s="302"/>
      <c r="FQ19" s="302"/>
      <c r="FR19" s="302"/>
      <c r="FS19" s="302"/>
      <c r="FT19" s="302"/>
      <c r="FU19" s="302"/>
      <c r="FV19" s="302"/>
      <c r="FW19" s="302"/>
      <c r="FX19" s="302"/>
      <c r="FY19" s="302"/>
      <c r="FZ19" s="302"/>
      <c r="GA19" s="302"/>
      <c r="GB19" s="302"/>
      <c r="GC19" s="302"/>
      <c r="GD19" s="302"/>
      <c r="GE19" s="302"/>
      <c r="GF19" s="302"/>
      <c r="GG19" s="302"/>
      <c r="GH19" s="302"/>
      <c r="GI19" s="302"/>
      <c r="GJ19" s="302"/>
      <c r="GK19" s="302"/>
      <c r="GL19" s="302"/>
      <c r="GM19" s="302"/>
      <c r="GN19" s="302"/>
      <c r="GO19" s="302"/>
      <c r="GP19" s="302"/>
      <c r="GQ19" s="302"/>
      <c r="GR19" s="302"/>
      <c r="GS19" s="302"/>
      <c r="GT19" s="302"/>
      <c r="GU19" s="302"/>
      <c r="GV19" s="302"/>
      <c r="GW19" s="302"/>
      <c r="GX19" s="302"/>
      <c r="GY19" s="302"/>
      <c r="GZ19" s="302"/>
      <c r="HA19" s="302"/>
      <c r="HB19" s="302"/>
      <c r="HC19" s="302"/>
      <c r="HD19" s="302"/>
      <c r="HE19" s="302"/>
      <c r="HF19" s="302"/>
      <c r="HG19" s="302"/>
      <c r="HH19" s="302"/>
      <c r="HI19" s="302"/>
      <c r="HJ19" s="302"/>
      <c r="HK19" s="302"/>
      <c r="HL19" s="302"/>
      <c r="HM19" s="302"/>
      <c r="HN19" s="302"/>
      <c r="HO19" s="302"/>
      <c r="HP19" s="302"/>
      <c r="HQ19" s="302"/>
      <c r="HR19" s="302"/>
      <c r="HS19" s="302"/>
      <c r="HT19" s="302"/>
      <c r="HU19" s="302"/>
      <c r="HV19" s="302"/>
      <c r="HW19" s="302"/>
      <c r="HX19" s="302"/>
      <c r="HY19" s="302"/>
      <c r="HZ19" s="302"/>
      <c r="IA19" s="302"/>
      <c r="IB19" s="302"/>
      <c r="IC19" s="302"/>
      <c r="ID19" s="302"/>
      <c r="IE19" s="302"/>
      <c r="IF19" s="302"/>
      <c r="IG19" s="302"/>
      <c r="IH19" s="302"/>
      <c r="II19" s="302"/>
      <c r="IJ19" s="302"/>
      <c r="IK19" s="302"/>
      <c r="IL19" s="302"/>
    </row>
    <row r="20" spans="1:246" s="318" customFormat="1" ht="19.95" customHeight="1">
      <c r="A20" s="94"/>
      <c r="B20" s="309"/>
      <c r="C20" s="355" t="s">
        <v>103</v>
      </c>
      <c r="D20" s="317"/>
      <c r="E20" s="105">
        <f>COUNTIFS(Table1351452010[[#All],[Sales]],"คุณณรงศ์ศักย์ เหล่ารัตนเวช",Table1351452010[[#All],[ค่าขายอุปกรณ์]],"&gt;1")</f>
        <v>0</v>
      </c>
      <c r="F20" s="313">
        <f>SUMIF(Table1351452010[[#All],[Sales]],"คุณณรงศ์ศักย์ เหล่ารัตนเวช",Table1351452010[[#All],[Total
คอมฯ อุปกรณ์]])</f>
        <v>0</v>
      </c>
      <c r="G20" s="299">
        <v>0</v>
      </c>
      <c r="H20" s="300">
        <f t="shared" ref="H20" si="12">F20-G20</f>
        <v>0</v>
      </c>
      <c r="I20" s="308"/>
      <c r="J20" s="307"/>
      <c r="K20" s="302"/>
      <c r="L20" s="302"/>
      <c r="M20" s="302"/>
      <c r="N20" s="302"/>
      <c r="O20" s="302"/>
      <c r="P20" s="302"/>
      <c r="Q20" s="302"/>
      <c r="R20" s="302"/>
      <c r="S20" s="302"/>
      <c r="T20" s="302"/>
      <c r="U20" s="302"/>
      <c r="V20" s="302"/>
      <c r="W20" s="302"/>
      <c r="X20" s="302"/>
      <c r="Y20" s="302"/>
      <c r="Z20" s="302"/>
      <c r="AA20" s="302"/>
      <c r="AB20" s="302"/>
      <c r="AC20" s="302"/>
      <c r="AD20" s="302"/>
      <c r="AE20" s="302"/>
      <c r="AF20" s="302"/>
      <c r="AG20" s="302"/>
      <c r="AH20" s="302"/>
      <c r="AI20" s="302"/>
      <c r="AJ20" s="302"/>
      <c r="AK20" s="302"/>
      <c r="AL20" s="302"/>
      <c r="AM20" s="302"/>
      <c r="AN20" s="302"/>
      <c r="AO20" s="302"/>
      <c r="AP20" s="302"/>
      <c r="AQ20" s="302"/>
      <c r="AR20" s="302"/>
      <c r="AS20" s="302"/>
      <c r="AT20" s="302"/>
      <c r="AU20" s="302"/>
      <c r="AV20" s="302"/>
      <c r="AW20" s="302"/>
      <c r="AX20" s="302"/>
      <c r="AY20" s="302"/>
      <c r="AZ20" s="302"/>
      <c r="BA20" s="302"/>
      <c r="BB20" s="302"/>
      <c r="BC20" s="302"/>
      <c r="BD20" s="302"/>
      <c r="BE20" s="302"/>
      <c r="BF20" s="302"/>
      <c r="BG20" s="302"/>
      <c r="BH20" s="302"/>
      <c r="BI20" s="302"/>
      <c r="BJ20" s="302"/>
      <c r="BK20" s="302"/>
      <c r="BL20" s="302"/>
      <c r="BM20" s="302"/>
      <c r="BN20" s="302"/>
      <c r="BO20" s="302"/>
      <c r="BP20" s="302"/>
      <c r="BQ20" s="302"/>
      <c r="BR20" s="302"/>
      <c r="BS20" s="302"/>
      <c r="BT20" s="302"/>
      <c r="BU20" s="302"/>
      <c r="BV20" s="302"/>
      <c r="BW20" s="302"/>
      <c r="BX20" s="302"/>
      <c r="BY20" s="302"/>
      <c r="BZ20" s="302"/>
      <c r="CA20" s="302"/>
      <c r="CB20" s="302"/>
      <c r="CC20" s="302"/>
      <c r="CD20" s="302"/>
      <c r="CE20" s="302"/>
      <c r="CF20" s="302"/>
      <c r="CG20" s="302"/>
      <c r="CH20" s="302"/>
      <c r="CI20" s="302"/>
      <c r="CJ20" s="302"/>
      <c r="CK20" s="302"/>
      <c r="CL20" s="302"/>
      <c r="CM20" s="302"/>
      <c r="CN20" s="302"/>
      <c r="CO20" s="302"/>
      <c r="CP20" s="302"/>
      <c r="CQ20" s="302"/>
      <c r="CR20" s="302"/>
      <c r="CS20" s="302"/>
      <c r="CT20" s="302"/>
      <c r="CU20" s="302"/>
      <c r="CV20" s="302"/>
      <c r="CW20" s="302"/>
      <c r="CX20" s="302"/>
      <c r="CY20" s="302"/>
      <c r="CZ20" s="302"/>
      <c r="DA20" s="302"/>
      <c r="DB20" s="302"/>
      <c r="DC20" s="302"/>
      <c r="DD20" s="302"/>
      <c r="DE20" s="302"/>
      <c r="DF20" s="302"/>
      <c r="DG20" s="302"/>
      <c r="DH20" s="302"/>
      <c r="DI20" s="302"/>
      <c r="DJ20" s="302"/>
      <c r="DK20" s="302"/>
      <c r="DL20" s="302"/>
      <c r="DM20" s="302"/>
      <c r="DN20" s="302"/>
      <c r="DO20" s="302"/>
      <c r="DP20" s="302"/>
      <c r="DQ20" s="302"/>
      <c r="DR20" s="302"/>
      <c r="DS20" s="302"/>
      <c r="DT20" s="302"/>
      <c r="DU20" s="302"/>
      <c r="DV20" s="302"/>
      <c r="DW20" s="302"/>
      <c r="DX20" s="302"/>
      <c r="DY20" s="302"/>
      <c r="DZ20" s="302"/>
      <c r="EA20" s="302"/>
      <c r="EB20" s="302"/>
      <c r="EC20" s="302"/>
      <c r="ED20" s="302"/>
      <c r="EE20" s="302"/>
      <c r="EF20" s="302"/>
      <c r="EG20" s="302"/>
      <c r="EH20" s="302"/>
      <c r="EI20" s="302"/>
      <c r="EJ20" s="302"/>
      <c r="EK20" s="302"/>
      <c r="EL20" s="302"/>
      <c r="EM20" s="302"/>
      <c r="EN20" s="302"/>
      <c r="EO20" s="302"/>
      <c r="EP20" s="302"/>
      <c r="EQ20" s="302"/>
      <c r="ER20" s="302"/>
      <c r="ES20" s="302"/>
      <c r="ET20" s="302"/>
      <c r="EU20" s="302"/>
      <c r="EV20" s="302"/>
      <c r="EW20" s="302"/>
      <c r="EX20" s="302"/>
      <c r="EY20" s="302"/>
      <c r="EZ20" s="302"/>
      <c r="FA20" s="302"/>
      <c r="FB20" s="302"/>
      <c r="FC20" s="302"/>
      <c r="FD20" s="302"/>
      <c r="FE20" s="302"/>
      <c r="FF20" s="302"/>
      <c r="FG20" s="302"/>
      <c r="FH20" s="302"/>
      <c r="FI20" s="302"/>
      <c r="FJ20" s="302"/>
      <c r="FK20" s="302"/>
      <c r="FL20" s="302"/>
      <c r="FM20" s="302"/>
      <c r="FN20" s="302"/>
      <c r="FO20" s="302"/>
      <c r="FP20" s="302"/>
      <c r="FQ20" s="302"/>
      <c r="FR20" s="302"/>
      <c r="FS20" s="302"/>
      <c r="FT20" s="302"/>
      <c r="FU20" s="302"/>
      <c r="FV20" s="302"/>
      <c r="FW20" s="302"/>
      <c r="FX20" s="302"/>
      <c r="FY20" s="302"/>
      <c r="FZ20" s="302"/>
      <c r="GA20" s="302"/>
      <c r="GB20" s="302"/>
      <c r="GC20" s="302"/>
      <c r="GD20" s="302"/>
      <c r="GE20" s="302"/>
      <c r="GF20" s="302"/>
      <c r="GG20" s="302"/>
      <c r="GH20" s="302"/>
      <c r="GI20" s="302"/>
      <c r="GJ20" s="302"/>
      <c r="GK20" s="302"/>
      <c r="GL20" s="302"/>
      <c r="GM20" s="302"/>
      <c r="GN20" s="302"/>
      <c r="GO20" s="302"/>
      <c r="GP20" s="302"/>
      <c r="GQ20" s="302"/>
      <c r="GR20" s="302"/>
      <c r="GS20" s="302"/>
      <c r="GT20" s="302"/>
      <c r="GU20" s="302"/>
      <c r="GV20" s="302"/>
      <c r="GW20" s="302"/>
      <c r="GX20" s="302"/>
      <c r="GY20" s="302"/>
      <c r="GZ20" s="302"/>
      <c r="HA20" s="302"/>
      <c r="HB20" s="302"/>
      <c r="HC20" s="302"/>
      <c r="HD20" s="302"/>
      <c r="HE20" s="302"/>
      <c r="HF20" s="302"/>
      <c r="HG20" s="302"/>
      <c r="HH20" s="302"/>
      <c r="HI20" s="302"/>
      <c r="HJ20" s="302"/>
      <c r="HK20" s="302"/>
      <c r="HL20" s="302"/>
      <c r="HM20" s="302"/>
      <c r="HN20" s="302"/>
      <c r="HO20" s="302"/>
      <c r="HP20" s="302"/>
      <c r="HQ20" s="302"/>
      <c r="HR20" s="302"/>
      <c r="HS20" s="302"/>
      <c r="HT20" s="302"/>
      <c r="HU20" s="302"/>
      <c r="HV20" s="302"/>
      <c r="HW20" s="302"/>
      <c r="HX20" s="302"/>
      <c r="HY20" s="302"/>
      <c r="HZ20" s="302"/>
      <c r="IA20" s="302"/>
      <c r="IB20" s="302"/>
      <c r="IC20" s="302"/>
      <c r="ID20" s="302"/>
      <c r="IE20" s="302"/>
      <c r="IF20" s="302"/>
      <c r="IG20" s="302"/>
      <c r="IH20" s="302"/>
      <c r="II20" s="302"/>
      <c r="IJ20" s="302"/>
      <c r="IK20" s="302"/>
      <c r="IL20" s="302"/>
    </row>
    <row r="21" spans="1:246" s="318" customFormat="1" ht="19.95" customHeight="1">
      <c r="A21" s="94"/>
      <c r="B21" s="309"/>
      <c r="C21" s="552" t="s">
        <v>168</v>
      </c>
      <c r="D21" s="317"/>
      <c r="E21" s="105">
        <f>COUNTIFS(Table1351452010[[#All],[Sales]],"คุณชนัฐฎา สนคะมี",Table1351452010[[#All],[ค่าขายอุปกรณ์]],"&gt;1")</f>
        <v>0</v>
      </c>
      <c r="F21" s="313">
        <f>SUMIF(Table1351452010[[#All],[Sales]],"คุณชนัฐฎา สนคะมี",Table1351452010[[#All],[Total
คอมฯ อุปกรณ์]])</f>
        <v>0</v>
      </c>
      <c r="G21" s="299">
        <v>0</v>
      </c>
      <c r="H21" s="300">
        <f>F21-G21</f>
        <v>0</v>
      </c>
      <c r="I21" s="308"/>
      <c r="J21" s="307"/>
      <c r="K21" s="302"/>
      <c r="L21" s="302"/>
      <c r="M21" s="302"/>
      <c r="N21" s="302"/>
      <c r="O21" s="302"/>
      <c r="P21" s="302"/>
      <c r="Q21" s="302"/>
      <c r="R21" s="302"/>
      <c r="S21" s="302"/>
      <c r="T21" s="302"/>
      <c r="U21" s="302"/>
      <c r="V21" s="302"/>
      <c r="W21" s="302"/>
      <c r="X21" s="302"/>
      <c r="Y21" s="302"/>
      <c r="Z21" s="302"/>
      <c r="AA21" s="302"/>
      <c r="AB21" s="302"/>
      <c r="AC21" s="302"/>
      <c r="AD21" s="302"/>
      <c r="AE21" s="302"/>
      <c r="AF21" s="302"/>
      <c r="AG21" s="302"/>
      <c r="AH21" s="302"/>
      <c r="AI21" s="302"/>
      <c r="AJ21" s="302"/>
      <c r="AK21" s="302"/>
      <c r="AL21" s="302"/>
      <c r="AM21" s="302"/>
      <c r="AN21" s="302"/>
      <c r="AO21" s="302"/>
      <c r="AP21" s="302"/>
      <c r="AQ21" s="302"/>
      <c r="AR21" s="302"/>
      <c r="AS21" s="302"/>
      <c r="AT21" s="302"/>
      <c r="AU21" s="302"/>
      <c r="AV21" s="302"/>
      <c r="AW21" s="302"/>
      <c r="AX21" s="302"/>
      <c r="AY21" s="302"/>
      <c r="AZ21" s="302"/>
      <c r="BA21" s="302"/>
      <c r="BB21" s="302"/>
      <c r="BC21" s="302"/>
      <c r="BD21" s="302"/>
      <c r="BE21" s="302"/>
      <c r="BF21" s="302"/>
      <c r="BG21" s="302"/>
      <c r="BH21" s="302"/>
      <c r="BI21" s="302"/>
      <c r="BJ21" s="302"/>
      <c r="BK21" s="302"/>
      <c r="BL21" s="302"/>
      <c r="BM21" s="302"/>
      <c r="BN21" s="302"/>
      <c r="BO21" s="302"/>
      <c r="BP21" s="302"/>
      <c r="BQ21" s="302"/>
      <c r="BR21" s="302"/>
      <c r="BS21" s="302"/>
      <c r="BT21" s="302"/>
      <c r="BU21" s="302"/>
      <c r="BV21" s="302"/>
      <c r="BW21" s="302"/>
      <c r="BX21" s="302"/>
      <c r="BY21" s="302"/>
      <c r="BZ21" s="302"/>
      <c r="CA21" s="302"/>
      <c r="CB21" s="302"/>
      <c r="CC21" s="302"/>
      <c r="CD21" s="302"/>
      <c r="CE21" s="302"/>
      <c r="CF21" s="302"/>
      <c r="CG21" s="302"/>
      <c r="CH21" s="302"/>
      <c r="CI21" s="302"/>
      <c r="CJ21" s="302"/>
      <c r="CK21" s="302"/>
      <c r="CL21" s="302"/>
      <c r="CM21" s="302"/>
      <c r="CN21" s="302"/>
      <c r="CO21" s="302"/>
      <c r="CP21" s="302"/>
      <c r="CQ21" s="302"/>
      <c r="CR21" s="302"/>
      <c r="CS21" s="302"/>
      <c r="CT21" s="302"/>
      <c r="CU21" s="302"/>
      <c r="CV21" s="302"/>
      <c r="CW21" s="302"/>
      <c r="CX21" s="302"/>
      <c r="CY21" s="302"/>
      <c r="CZ21" s="302"/>
      <c r="DA21" s="302"/>
      <c r="DB21" s="302"/>
      <c r="DC21" s="302"/>
      <c r="DD21" s="302"/>
      <c r="DE21" s="302"/>
      <c r="DF21" s="302"/>
      <c r="DG21" s="302"/>
      <c r="DH21" s="302"/>
      <c r="DI21" s="302"/>
      <c r="DJ21" s="302"/>
      <c r="DK21" s="302"/>
      <c r="DL21" s="302"/>
      <c r="DM21" s="302"/>
      <c r="DN21" s="302"/>
      <c r="DO21" s="302"/>
      <c r="DP21" s="302"/>
      <c r="DQ21" s="302"/>
      <c r="DR21" s="302"/>
      <c r="DS21" s="302"/>
      <c r="DT21" s="302"/>
      <c r="DU21" s="302"/>
      <c r="DV21" s="302"/>
      <c r="DW21" s="302"/>
      <c r="DX21" s="302"/>
      <c r="DY21" s="302"/>
      <c r="DZ21" s="302"/>
      <c r="EA21" s="302"/>
      <c r="EB21" s="302"/>
      <c r="EC21" s="302"/>
      <c r="ED21" s="302"/>
      <c r="EE21" s="302"/>
      <c r="EF21" s="302"/>
      <c r="EG21" s="302"/>
      <c r="EH21" s="302"/>
      <c r="EI21" s="302"/>
      <c r="EJ21" s="302"/>
      <c r="EK21" s="302"/>
      <c r="EL21" s="302"/>
      <c r="EM21" s="302"/>
      <c r="EN21" s="302"/>
      <c r="EO21" s="302"/>
      <c r="EP21" s="302"/>
      <c r="EQ21" s="302"/>
      <c r="ER21" s="302"/>
      <c r="ES21" s="302"/>
      <c r="ET21" s="302"/>
      <c r="EU21" s="302"/>
      <c r="EV21" s="302"/>
      <c r="EW21" s="302"/>
      <c r="EX21" s="302"/>
      <c r="EY21" s="302"/>
      <c r="EZ21" s="302"/>
      <c r="FA21" s="302"/>
      <c r="FB21" s="302"/>
      <c r="FC21" s="302"/>
      <c r="FD21" s="302"/>
      <c r="FE21" s="302"/>
      <c r="FF21" s="302"/>
      <c r="FG21" s="302"/>
      <c r="FH21" s="302"/>
      <c r="FI21" s="302"/>
      <c r="FJ21" s="302"/>
      <c r="FK21" s="302"/>
      <c r="FL21" s="302"/>
      <c r="FM21" s="302"/>
      <c r="FN21" s="302"/>
      <c r="FO21" s="302"/>
      <c r="FP21" s="302"/>
      <c r="FQ21" s="302"/>
      <c r="FR21" s="302"/>
      <c r="FS21" s="302"/>
      <c r="FT21" s="302"/>
      <c r="FU21" s="302"/>
      <c r="FV21" s="302"/>
      <c r="FW21" s="302"/>
      <c r="FX21" s="302"/>
      <c r="FY21" s="302"/>
      <c r="FZ21" s="302"/>
      <c r="GA21" s="302"/>
      <c r="GB21" s="302"/>
      <c r="GC21" s="302"/>
      <c r="GD21" s="302"/>
      <c r="GE21" s="302"/>
      <c r="GF21" s="302"/>
      <c r="GG21" s="302"/>
      <c r="GH21" s="302"/>
      <c r="GI21" s="302"/>
      <c r="GJ21" s="302"/>
      <c r="GK21" s="302"/>
      <c r="GL21" s="302"/>
      <c r="GM21" s="302"/>
      <c r="GN21" s="302"/>
      <c r="GO21" s="302"/>
      <c r="GP21" s="302"/>
      <c r="GQ21" s="302"/>
      <c r="GR21" s="302"/>
      <c r="GS21" s="302"/>
      <c r="GT21" s="302"/>
      <c r="GU21" s="302"/>
      <c r="GV21" s="302"/>
      <c r="GW21" s="302"/>
      <c r="GX21" s="302"/>
      <c r="GY21" s="302"/>
      <c r="GZ21" s="302"/>
      <c r="HA21" s="302"/>
      <c r="HB21" s="302"/>
      <c r="HC21" s="302"/>
      <c r="HD21" s="302"/>
      <c r="HE21" s="302"/>
      <c r="HF21" s="302"/>
      <c r="HG21" s="302"/>
      <c r="HH21" s="302"/>
      <c r="HI21" s="302"/>
      <c r="HJ21" s="302"/>
      <c r="HK21" s="302"/>
      <c r="HL21" s="302"/>
      <c r="HM21" s="302"/>
      <c r="HN21" s="302"/>
      <c r="HO21" s="302"/>
      <c r="HP21" s="302"/>
      <c r="HQ21" s="302"/>
      <c r="HR21" s="302"/>
      <c r="HS21" s="302"/>
      <c r="HT21" s="302"/>
      <c r="HU21" s="302"/>
      <c r="HV21" s="302"/>
      <c r="HW21" s="302"/>
      <c r="HX21" s="302"/>
      <c r="HY21" s="302"/>
      <c r="HZ21" s="302"/>
      <c r="IA21" s="302"/>
      <c r="IB21" s="302"/>
      <c r="IC21" s="302"/>
      <c r="ID21" s="302"/>
      <c r="IE21" s="302"/>
      <c r="IF21" s="302"/>
      <c r="IG21" s="302"/>
      <c r="IH21" s="302"/>
      <c r="II21" s="302"/>
      <c r="IJ21" s="302"/>
      <c r="IK21" s="302"/>
      <c r="IL21" s="302"/>
    </row>
    <row r="22" spans="1:246" s="318" customFormat="1" ht="19.95" customHeight="1">
      <c r="A22" s="95"/>
      <c r="B22" s="310"/>
      <c r="C22" s="106" t="s">
        <v>81</v>
      </c>
      <c r="D22" s="319"/>
      <c r="E22" s="107">
        <f>COUNTIFS(Table1351452010[[#All],[Sales]],"คุณธัญลักษณ์ หมื่นหลุบกุง",Table1351452010[[#All],[ค่าขายอุปกรณ์]],"&gt;1")</f>
        <v>0</v>
      </c>
      <c r="F22" s="313">
        <f>SUMIF(Table1351452010[[#All],[Sales]],"คุณธัญลักษณ์ หมื่นหลุบกุง",Table1351452010[[#All],[Total
คอมฯ อุปกรณ์]])</f>
        <v>0</v>
      </c>
      <c r="G22" s="299">
        <v>0</v>
      </c>
      <c r="H22" s="300">
        <f t="shared" si="10"/>
        <v>0</v>
      </c>
      <c r="I22" s="308"/>
      <c r="J22" s="308"/>
      <c r="K22" s="302"/>
      <c r="L22" s="302"/>
      <c r="M22" s="302"/>
      <c r="N22" s="302"/>
      <c r="O22" s="302"/>
      <c r="P22" s="302"/>
      <c r="Q22" s="302"/>
      <c r="R22" s="302"/>
      <c r="S22" s="302"/>
      <c r="T22" s="302"/>
      <c r="U22" s="302"/>
      <c r="V22" s="302"/>
      <c r="W22" s="302"/>
      <c r="X22" s="302"/>
      <c r="Y22" s="302"/>
      <c r="Z22" s="302"/>
      <c r="AA22" s="302"/>
      <c r="AB22" s="302"/>
      <c r="AC22" s="302"/>
      <c r="AD22" s="302"/>
      <c r="AE22" s="302"/>
      <c r="AF22" s="302"/>
      <c r="AG22" s="302"/>
      <c r="AH22" s="302"/>
      <c r="AI22" s="302"/>
      <c r="AJ22" s="302"/>
      <c r="AK22" s="302"/>
      <c r="AL22" s="302"/>
      <c r="AM22" s="302"/>
      <c r="AN22" s="302"/>
      <c r="AO22" s="302"/>
      <c r="AP22" s="302"/>
      <c r="AQ22" s="302"/>
      <c r="AR22" s="302"/>
      <c r="AS22" s="302"/>
      <c r="AT22" s="302"/>
      <c r="AU22" s="302"/>
      <c r="AV22" s="302"/>
      <c r="AW22" s="302"/>
      <c r="AX22" s="302"/>
      <c r="AY22" s="302"/>
      <c r="AZ22" s="302"/>
      <c r="BA22" s="302"/>
      <c r="BB22" s="302"/>
      <c r="BC22" s="302"/>
      <c r="BD22" s="302"/>
      <c r="BE22" s="302"/>
      <c r="BF22" s="302"/>
      <c r="BG22" s="302"/>
      <c r="BH22" s="302"/>
      <c r="BI22" s="302"/>
      <c r="BJ22" s="302"/>
      <c r="BK22" s="302"/>
      <c r="BL22" s="302"/>
      <c r="BM22" s="302"/>
      <c r="BN22" s="302"/>
      <c r="BO22" s="302"/>
      <c r="BP22" s="302"/>
      <c r="BQ22" s="302"/>
      <c r="BR22" s="302"/>
      <c r="BS22" s="302"/>
      <c r="BT22" s="302"/>
      <c r="BU22" s="302"/>
      <c r="BV22" s="302"/>
      <c r="BW22" s="302"/>
      <c r="BX22" s="302"/>
      <c r="BY22" s="302"/>
      <c r="BZ22" s="302"/>
      <c r="CA22" s="302"/>
      <c r="CB22" s="302"/>
      <c r="CC22" s="302"/>
      <c r="CD22" s="302"/>
      <c r="CE22" s="302"/>
      <c r="CF22" s="302"/>
      <c r="CG22" s="302"/>
      <c r="CH22" s="302"/>
      <c r="CI22" s="302"/>
      <c r="CJ22" s="302"/>
      <c r="CK22" s="302"/>
      <c r="CL22" s="302"/>
      <c r="CM22" s="302"/>
      <c r="CN22" s="302"/>
      <c r="CO22" s="302"/>
      <c r="CP22" s="302"/>
      <c r="CQ22" s="302"/>
      <c r="CR22" s="302"/>
      <c r="CS22" s="302"/>
      <c r="CT22" s="302"/>
      <c r="CU22" s="302"/>
      <c r="CV22" s="302"/>
      <c r="CW22" s="302"/>
      <c r="CX22" s="302"/>
      <c r="CY22" s="302"/>
      <c r="CZ22" s="302"/>
      <c r="DA22" s="302"/>
      <c r="DB22" s="302"/>
      <c r="DC22" s="302"/>
      <c r="DD22" s="302"/>
      <c r="DE22" s="302"/>
      <c r="DF22" s="302"/>
      <c r="DG22" s="302"/>
      <c r="DH22" s="302"/>
      <c r="DI22" s="302"/>
      <c r="DJ22" s="302"/>
      <c r="DK22" s="302"/>
      <c r="DL22" s="302"/>
      <c r="DM22" s="302"/>
      <c r="DN22" s="302"/>
      <c r="DO22" s="302"/>
      <c r="DP22" s="302"/>
      <c r="DQ22" s="302"/>
      <c r="DR22" s="302"/>
      <c r="DS22" s="302"/>
      <c r="DT22" s="302"/>
      <c r="DU22" s="302"/>
      <c r="DV22" s="302"/>
      <c r="DW22" s="302"/>
      <c r="DX22" s="302"/>
      <c r="DY22" s="302"/>
      <c r="DZ22" s="302"/>
      <c r="EA22" s="302"/>
      <c r="EB22" s="302"/>
      <c r="EC22" s="302"/>
      <c r="ED22" s="302"/>
      <c r="EE22" s="302"/>
      <c r="EF22" s="302"/>
      <c r="EG22" s="302"/>
      <c r="EH22" s="302"/>
      <c r="EI22" s="302"/>
      <c r="EJ22" s="302"/>
      <c r="EK22" s="302"/>
      <c r="EL22" s="302"/>
      <c r="EM22" s="302"/>
      <c r="EN22" s="302"/>
      <c r="EO22" s="302"/>
      <c r="EP22" s="302"/>
      <c r="EQ22" s="302"/>
      <c r="ER22" s="302"/>
      <c r="ES22" s="302"/>
      <c r="ET22" s="302"/>
      <c r="EU22" s="302"/>
      <c r="EV22" s="302"/>
      <c r="EW22" s="302"/>
      <c r="EX22" s="302"/>
      <c r="EY22" s="302"/>
      <c r="EZ22" s="302"/>
      <c r="FA22" s="302"/>
      <c r="FB22" s="302"/>
      <c r="FC22" s="302"/>
      <c r="FD22" s="302"/>
      <c r="FE22" s="302"/>
      <c r="FF22" s="302"/>
      <c r="FG22" s="302"/>
      <c r="FH22" s="302"/>
      <c r="FI22" s="302"/>
      <c r="FJ22" s="302"/>
      <c r="FK22" s="302"/>
      <c r="FL22" s="302"/>
      <c r="FM22" s="302"/>
      <c r="FN22" s="302"/>
      <c r="FO22" s="302"/>
      <c r="FP22" s="302"/>
      <c r="FQ22" s="302"/>
      <c r="FR22" s="302"/>
      <c r="FS22" s="302"/>
      <c r="FT22" s="302"/>
      <c r="FU22" s="302"/>
      <c r="FV22" s="302"/>
      <c r="FW22" s="302"/>
      <c r="FX22" s="302"/>
      <c r="FY22" s="302"/>
      <c r="FZ22" s="302"/>
      <c r="GA22" s="302"/>
      <c r="GB22" s="302"/>
      <c r="GC22" s="302"/>
      <c r="GD22" s="302"/>
      <c r="GE22" s="302"/>
      <c r="GF22" s="302"/>
      <c r="GG22" s="302"/>
      <c r="GH22" s="302"/>
      <c r="GI22" s="302"/>
      <c r="GJ22" s="302"/>
      <c r="GK22" s="302"/>
      <c r="GL22" s="302"/>
      <c r="GM22" s="302"/>
      <c r="GN22" s="302"/>
      <c r="GO22" s="302"/>
      <c r="GP22" s="302"/>
      <c r="GQ22" s="302"/>
      <c r="GR22" s="302"/>
      <c r="GS22" s="302"/>
      <c r="GT22" s="302"/>
      <c r="GU22" s="302"/>
      <c r="GV22" s="302"/>
      <c r="GW22" s="302"/>
      <c r="GX22" s="302"/>
      <c r="GY22" s="302"/>
      <c r="GZ22" s="302"/>
      <c r="HA22" s="302"/>
      <c r="HB22" s="302"/>
      <c r="HC22" s="302"/>
      <c r="HD22" s="302"/>
      <c r="HE22" s="302"/>
      <c r="HF22" s="302"/>
      <c r="HG22" s="302"/>
      <c r="HH22" s="302"/>
      <c r="HI22" s="302"/>
      <c r="HJ22" s="302"/>
      <c r="HK22" s="302"/>
      <c r="HL22" s="302"/>
      <c r="HM22" s="302"/>
      <c r="HN22" s="302"/>
      <c r="HO22" s="302"/>
      <c r="HP22" s="302"/>
      <c r="HQ22" s="302"/>
      <c r="HR22" s="302"/>
      <c r="HS22" s="302"/>
      <c r="HT22" s="302"/>
      <c r="HU22" s="302"/>
      <c r="HV22" s="302"/>
      <c r="HW22" s="302"/>
      <c r="HX22" s="302"/>
      <c r="HY22" s="302"/>
      <c r="HZ22" s="302"/>
      <c r="IA22" s="302"/>
      <c r="IB22" s="302"/>
      <c r="IC22" s="302"/>
      <c r="ID22" s="302"/>
      <c r="IE22" s="302"/>
      <c r="IF22" s="302"/>
      <c r="IG22" s="302"/>
      <c r="IH22" s="302"/>
      <c r="II22" s="302"/>
      <c r="IJ22" s="302"/>
      <c r="IK22" s="302"/>
      <c r="IL22" s="302"/>
    </row>
    <row r="23" spans="1:246" s="302" customFormat="1" ht="19.95" customHeight="1">
      <c r="A23" s="93">
        <v>3</v>
      </c>
      <c r="B23" s="320" t="s">
        <v>11</v>
      </c>
      <c r="C23" s="321" t="s">
        <v>82</v>
      </c>
      <c r="D23" s="519" t="s">
        <v>27</v>
      </c>
      <c r="E23" s="105">
        <f>COUNTIFS(Table1351452010[[#All],[Sales]],"คุณนิมิต จุ้ยอยู่ทอง",Table1351452010[[#All],[Total 
คอมฯค่าติดตั้ง/ค่าเชื่อมสัญญาณ]],"&gt;1")</f>
        <v>0</v>
      </c>
      <c r="F23" s="313">
        <f>SUMIF(Table1351452010[[#All],[Sales]],"คุณนิมิต จุ้ยอยู่ทอง",Table1351452010[[#All],[Total 
คอมฯค่าติดตั้ง/ค่าเชื่อมสัญญาณ]])</f>
        <v>0</v>
      </c>
      <c r="G23" s="299">
        <v>0</v>
      </c>
      <c r="H23" s="300">
        <f t="shared" si="10"/>
        <v>0</v>
      </c>
      <c r="I23" s="308"/>
      <c r="J23" s="322"/>
    </row>
    <row r="24" spans="1:246" s="302" customFormat="1" ht="19.95" customHeight="1">
      <c r="A24" s="94"/>
      <c r="B24" s="323"/>
      <c r="C24" s="321" t="s">
        <v>83</v>
      </c>
      <c r="D24" s="520"/>
      <c r="E24" s="105">
        <f>COUNTIFS(Table1351452010[[#All],[Sales]],"คุณธวัช มีแสง",Table1351452010[[#All],[Total 
คอมฯค่าติดตั้ง/ค่าเชื่อมสัญญาณ]],"&gt;1")</f>
        <v>0</v>
      </c>
      <c r="F24" s="313">
        <f>SUMIF(Table1351452010[[#All],[Sales]],"คุณธวัช มีแสง",Table1351452010[[#All],[Total 
คอมฯค่าติดตั้ง/ค่าเชื่อมสัญญาณ]])</f>
        <v>0</v>
      </c>
      <c r="G24" s="299">
        <v>0</v>
      </c>
      <c r="H24" s="300">
        <f t="shared" si="10"/>
        <v>0</v>
      </c>
      <c r="I24" s="308"/>
      <c r="J24" s="322"/>
    </row>
    <row r="25" spans="1:246" s="302" customFormat="1" ht="19.95" customHeight="1">
      <c r="A25" s="94"/>
      <c r="B25" s="323"/>
      <c r="C25" s="102" t="s">
        <v>84</v>
      </c>
      <c r="D25" s="520"/>
      <c r="E25" s="105">
        <f>COUNTIFS(Table1351452010[[#All],[Sales]],"คุณแดง มูลสองแคว",Table1351452010[[#All],[Total 
คอมฯค่าติดตั้ง/ค่าเชื่อมสัญญาณ]],"&gt;1")</f>
        <v>0</v>
      </c>
      <c r="F25" s="313">
        <f>SUMIF(Table1351452010[[#All],[Sales]],"คุณแดง มูลสองแคว",Table1351452010[[#All],[Total 
คอมฯค่าติดตั้ง/ค่าเชื่อมสัญญาณ]])</f>
        <v>0</v>
      </c>
      <c r="G25" s="299">
        <v>0</v>
      </c>
      <c r="H25" s="300">
        <f t="shared" ref="H25:H31" si="13">F25-G25</f>
        <v>0</v>
      </c>
      <c r="I25" s="308"/>
      <c r="J25" s="322"/>
    </row>
    <row r="26" spans="1:246" s="302" customFormat="1" ht="19.95" customHeight="1">
      <c r="A26" s="94"/>
      <c r="B26" s="323"/>
      <c r="C26" s="177" t="s">
        <v>85</v>
      </c>
      <c r="D26" s="520"/>
      <c r="E26" s="105">
        <f>COUNTIFS(Table1351452010[[#All],[Sales]],"คุณนิยนต์ อยู่ทะเล",Table1351452010[[#All],[Total 
คอมฯค่าติดตั้ง/ค่าเชื่อมสัญญาณ]],"&gt;1")</f>
        <v>0</v>
      </c>
      <c r="F26" s="313">
        <f>SUMIF(Table1351452010[[#All],[Sales]],"คุณนิยนต์ อยู่ทะเล",Table1351452010[[#All],[Total 
คอมฯค่าติดตั้ง/ค่าเชื่อมสัญญาณ]])</f>
        <v>0</v>
      </c>
      <c r="G26" s="299">
        <v>0</v>
      </c>
      <c r="H26" s="300">
        <f t="shared" si="13"/>
        <v>0</v>
      </c>
      <c r="I26" s="308"/>
      <c r="J26" s="322"/>
    </row>
    <row r="27" spans="1:246" s="302" customFormat="1" ht="19.95" customHeight="1">
      <c r="A27" s="94"/>
      <c r="B27" s="323"/>
      <c r="C27" s="181" t="s">
        <v>78</v>
      </c>
      <c r="D27" s="520"/>
      <c r="E27" s="105">
        <f>COUNTIFS(Table1351452010[[#All],[Sales]],"คุณรุ่งอรุณ อินบุญรอด",Table1351452010[[#All],[Total 
คอมฯค่าติดตั้ง/ค่าเชื่อมสัญญาณ]],"&gt;1")</f>
        <v>2</v>
      </c>
      <c r="F27" s="556">
        <f>SUMIF(Table1351452010[[#All],[Sales]],"คุณรุ่งอรุณ อินบุญรอด",Table1351452010[[#All],[Total 
คอมฯค่าติดตั้ง/ค่าเชื่อมสัญญาณ]])</f>
        <v>222.84</v>
      </c>
      <c r="G27" s="299">
        <v>0</v>
      </c>
      <c r="H27" s="300">
        <f t="shared" si="13"/>
        <v>222.84</v>
      </c>
      <c r="I27" s="308"/>
      <c r="J27" s="322"/>
    </row>
    <row r="28" spans="1:246" s="302" customFormat="1" ht="19.95" customHeight="1">
      <c r="A28" s="94"/>
      <c r="B28" s="309"/>
      <c r="C28" s="321" t="s">
        <v>79</v>
      </c>
      <c r="D28" s="520"/>
      <c r="E28" s="105">
        <f>COUNTIFS(Table1351452010[[#All],[Sales]],"คุณศศินาถ จุ้ยอยู่ทอง",Table1351452010[[#All],[Total 
คอมฯค่าติดตั้ง/ค่าเชื่อมสัญญาณ]],"&gt;1")</f>
        <v>0</v>
      </c>
      <c r="F28" s="313">
        <f>SUMIF(Table1351452010[[#All],[Sales]],"คุณศศินาถ จุ้ยอยู่ทอง",Table1351452010[[#All],[Total 
คอมฯค่าติดตั้ง/ค่าเชื่อมสัญญาณ]])</f>
        <v>0</v>
      </c>
      <c r="G28" s="299">
        <v>0</v>
      </c>
      <c r="H28" s="300">
        <f t="shared" si="13"/>
        <v>0</v>
      </c>
      <c r="I28" s="308"/>
      <c r="J28" s="322"/>
    </row>
    <row r="29" spans="1:246" s="302" customFormat="1" ht="19.95" customHeight="1">
      <c r="A29" s="94"/>
      <c r="B29" s="309"/>
      <c r="C29" s="321" t="s">
        <v>103</v>
      </c>
      <c r="D29" s="520"/>
      <c r="E29" s="105">
        <f>COUNTIFS(Table1351452010[[#All],[Sales]],"คุณณรงศ์ศักย์ เหล่ารัตนเวช",Table1351452010[[#All],[Total 
คอมฯค่าติดตั้ง/ค่าเชื่อมสัญญาณ]],"&gt;1")</f>
        <v>0</v>
      </c>
      <c r="F29" s="313">
        <f>SUMIF(Table1351452010[[#All],[Sales]],"คุณณรงศ์ศักย์ เหล่ารัตนเวช",Table1351452010[[#All],[Total 
คอมฯค่าติดตั้ง/ค่าเชื่อมสัญญาณ]])</f>
        <v>0</v>
      </c>
      <c r="G29" s="299">
        <v>0</v>
      </c>
      <c r="H29" s="300">
        <f t="shared" si="13"/>
        <v>0</v>
      </c>
      <c r="I29" s="308"/>
      <c r="J29" s="322"/>
    </row>
    <row r="30" spans="1:246" s="302" customFormat="1" ht="19.95" customHeight="1">
      <c r="A30" s="94"/>
      <c r="B30" s="309"/>
      <c r="C30" s="554" t="s">
        <v>168</v>
      </c>
      <c r="D30" s="520"/>
      <c r="E30" s="555"/>
      <c r="F30" s="553"/>
      <c r="G30" s="550"/>
      <c r="H30" s="551"/>
      <c r="I30" s="308"/>
      <c r="J30" s="322"/>
    </row>
    <row r="31" spans="1:246" s="302" customFormat="1" ht="19.95" customHeight="1">
      <c r="A31" s="94"/>
      <c r="B31" s="324"/>
      <c r="C31" s="108" t="s">
        <v>81</v>
      </c>
      <c r="D31" s="521"/>
      <c r="E31" s="105">
        <f>COUNTIFS(Table1351452010[[#All],[Sales]],"คุณธัญลักษณ์ หมื่นหลุบกุง",Table1351452010[[#All],[Total 
คอมฯค่าติดตั้ง/ค่าเชื่อมสัญญาณ]],"&gt;1")</f>
        <v>0</v>
      </c>
      <c r="F31" s="313">
        <f>SUMIF(Table1351452010[[#All],[Sales]],"คุณธัญลักษณ์ หมื่นหลุบกุง",Table1351452010[[#All],[Total 
คอมฯค่าติดตั้ง/ค่าเชื่อมสัญญาณ]])</f>
        <v>0</v>
      </c>
      <c r="G31" s="299">
        <v>0</v>
      </c>
      <c r="H31" s="300">
        <f t="shared" si="13"/>
        <v>0</v>
      </c>
      <c r="I31" s="322"/>
      <c r="J31" s="322"/>
    </row>
    <row r="32" spans="1:246" s="302" customFormat="1" ht="21" customHeight="1">
      <c r="A32" s="325"/>
      <c r="B32" s="125" t="s">
        <v>12</v>
      </c>
      <c r="C32" s="125"/>
      <c r="D32" s="125"/>
      <c r="E32" s="118">
        <f>SUM(E5:E31)</f>
        <v>7</v>
      </c>
      <c r="F32" s="326">
        <f>SUM(F5:F31)</f>
        <v>11578.91</v>
      </c>
      <c r="G32" s="326">
        <f>SUM(G5:G31)</f>
        <v>454.24279999999999</v>
      </c>
      <c r="H32" s="327">
        <f>SUM(H5:H31)</f>
        <v>11124.6672</v>
      </c>
      <c r="I32" s="322"/>
      <c r="J32" s="322"/>
    </row>
    <row r="33" spans="2:11" s="302" customFormat="1" ht="13.95" customHeight="1">
      <c r="B33" s="328"/>
      <c r="C33" s="328"/>
      <c r="D33" s="328"/>
      <c r="E33" s="329"/>
      <c r="F33" s="329"/>
      <c r="G33" s="329"/>
      <c r="H33" s="330"/>
      <c r="I33" s="329"/>
    </row>
    <row r="34" spans="2:11" s="302" customFormat="1" ht="7.95" customHeight="1">
      <c r="B34" s="328"/>
      <c r="C34" s="328"/>
      <c r="D34" s="328"/>
      <c r="E34" s="329"/>
      <c r="F34" s="329"/>
      <c r="G34" s="329"/>
      <c r="H34" s="329"/>
      <c r="I34" s="329"/>
    </row>
    <row r="35" spans="2:11" ht="19.95" customHeight="1">
      <c r="B35" s="513" t="s">
        <v>106</v>
      </c>
      <c r="C35" s="514"/>
      <c r="D35" s="514"/>
      <c r="E35" s="514"/>
      <c r="F35" s="514"/>
      <c r="G35" s="514"/>
      <c r="H35" s="514"/>
      <c r="I35" s="514"/>
      <c r="J35" s="514"/>
      <c r="K35" s="515"/>
    </row>
    <row r="36" spans="2:11" s="302" customFormat="1" ht="14.55" customHeight="1">
      <c r="B36" s="516"/>
      <c r="C36" s="517"/>
      <c r="D36" s="517"/>
      <c r="E36" s="517"/>
      <c r="F36" s="517"/>
      <c r="G36" s="517"/>
      <c r="H36" s="517"/>
      <c r="I36" s="517"/>
      <c r="J36" s="517"/>
      <c r="K36" s="518"/>
    </row>
    <row r="37" spans="2:11" s="369" customFormat="1" ht="33.6" customHeight="1">
      <c r="B37" s="379" t="s">
        <v>42</v>
      </c>
      <c r="C37" s="379" t="s">
        <v>13</v>
      </c>
      <c r="D37" s="379" t="s">
        <v>35</v>
      </c>
      <c r="E37" s="380" t="s">
        <v>33</v>
      </c>
      <c r="F37" s="380" t="s">
        <v>15</v>
      </c>
      <c r="G37" s="380" t="s">
        <v>34</v>
      </c>
      <c r="H37" s="379" t="s">
        <v>32</v>
      </c>
      <c r="I37" s="379" t="s">
        <v>30</v>
      </c>
      <c r="J37" s="381" t="s">
        <v>89</v>
      </c>
      <c r="K37" s="381" t="s">
        <v>90</v>
      </c>
    </row>
    <row r="38" spans="2:11" ht="19.95" customHeight="1">
      <c r="B38" s="122" t="s">
        <v>23</v>
      </c>
      <c r="C38" s="115" t="s">
        <v>91</v>
      </c>
      <c r="D38" s="331" t="s">
        <v>82</v>
      </c>
      <c r="E38" s="332">
        <f>SUM(G83)</f>
        <v>0</v>
      </c>
      <c r="F38" s="333">
        <v>0</v>
      </c>
      <c r="G38" s="334">
        <f>SUM(E38-F38)</f>
        <v>0</v>
      </c>
      <c r="H38" s="119">
        <v>0</v>
      </c>
      <c r="I38" s="377">
        <f>SUM(G38-H38)</f>
        <v>0</v>
      </c>
      <c r="J38" s="293" t="s">
        <v>101</v>
      </c>
      <c r="K38" s="294" t="s">
        <v>94</v>
      </c>
    </row>
    <row r="39" spans="2:11" ht="19.95" customHeight="1">
      <c r="B39" s="124"/>
      <c r="C39" s="115" t="s">
        <v>91</v>
      </c>
      <c r="D39" s="331" t="s">
        <v>83</v>
      </c>
      <c r="E39" s="332">
        <f>SUM(G84)</f>
        <v>1480.3704000000002</v>
      </c>
      <c r="F39" s="333"/>
      <c r="G39" s="334">
        <f t="shared" ref="G39:G48" si="14">SUM(E39-F39)</f>
        <v>1480.3704000000002</v>
      </c>
      <c r="H39" s="119">
        <v>0</v>
      </c>
      <c r="I39" s="377">
        <f t="shared" ref="I39:I48" si="15">SUM(G39-H39)</f>
        <v>1480.3704000000002</v>
      </c>
      <c r="J39" s="293" t="s">
        <v>101</v>
      </c>
      <c r="K39" s="294" t="s">
        <v>95</v>
      </c>
    </row>
    <row r="40" spans="2:11" ht="19.95" customHeight="1">
      <c r="B40" s="124"/>
      <c r="C40" s="115" t="s">
        <v>91</v>
      </c>
      <c r="D40" s="331" t="s">
        <v>84</v>
      </c>
      <c r="E40" s="335">
        <f>SUM(G85)</f>
        <v>0</v>
      </c>
      <c r="F40" s="334">
        <v>0</v>
      </c>
      <c r="G40" s="334">
        <f t="shared" ref="G40" si="16">SUM(E40-F40)</f>
        <v>0</v>
      </c>
      <c r="H40" s="126">
        <v>0</v>
      </c>
      <c r="I40" s="377">
        <f t="shared" ref="I40" si="17">SUM(G40-H40)</f>
        <v>0</v>
      </c>
      <c r="J40" s="293" t="s">
        <v>101</v>
      </c>
      <c r="K40" s="294" t="s">
        <v>96</v>
      </c>
    </row>
    <row r="41" spans="2:11" ht="19.95" customHeight="1">
      <c r="B41" s="124"/>
      <c r="C41" s="115" t="s">
        <v>17</v>
      </c>
      <c r="D41" s="336" t="s">
        <v>85</v>
      </c>
      <c r="E41" s="335">
        <f>SUM(G86)</f>
        <v>0</v>
      </c>
      <c r="F41" s="334">
        <v>0</v>
      </c>
      <c r="G41" s="334">
        <f t="shared" ref="G41" si="18">SUM(E41-F41)</f>
        <v>0</v>
      </c>
      <c r="H41" s="126">
        <v>0</v>
      </c>
      <c r="I41" s="377">
        <f t="shared" ref="I41" si="19">SUM(G41-H41)</f>
        <v>0</v>
      </c>
      <c r="J41" s="293" t="s">
        <v>101</v>
      </c>
      <c r="K41" s="294" t="s">
        <v>97</v>
      </c>
    </row>
    <row r="42" spans="2:11" ht="19.95" customHeight="1">
      <c r="B42" s="124"/>
      <c r="C42" s="115" t="s">
        <v>91</v>
      </c>
      <c r="D42" s="337" t="s">
        <v>78</v>
      </c>
      <c r="E42" s="335">
        <f>SUM(G87)</f>
        <v>1967.13</v>
      </c>
      <c r="F42" s="334">
        <v>0</v>
      </c>
      <c r="G42" s="334">
        <f>SUM(E42-F42)</f>
        <v>1967.13</v>
      </c>
      <c r="H42" s="126">
        <v>0</v>
      </c>
      <c r="I42" s="377">
        <f t="shared" ref="I42" si="20">SUM(G42-H42)</f>
        <v>1967.13</v>
      </c>
      <c r="J42" s="293" t="s">
        <v>101</v>
      </c>
      <c r="K42" s="294" t="s">
        <v>98</v>
      </c>
    </row>
    <row r="43" spans="2:11" ht="19.95" customHeight="1">
      <c r="B43" s="124"/>
      <c r="C43" s="115" t="s">
        <v>91</v>
      </c>
      <c r="D43" s="337" t="s">
        <v>79</v>
      </c>
      <c r="E43" s="335">
        <f>SUM(G88)</f>
        <v>2016</v>
      </c>
      <c r="F43" s="334">
        <v>0</v>
      </c>
      <c r="G43" s="334">
        <f>SUM(E43-F43)</f>
        <v>2016</v>
      </c>
      <c r="H43" s="126">
        <v>0</v>
      </c>
      <c r="I43" s="377">
        <f t="shared" ref="I43" si="21">SUM(G43-H43)</f>
        <v>2016</v>
      </c>
      <c r="J43" s="293" t="s">
        <v>101</v>
      </c>
      <c r="K43" s="294" t="s">
        <v>99</v>
      </c>
    </row>
    <row r="44" spans="2:11" ht="19.95" customHeight="1">
      <c r="B44" s="124"/>
      <c r="C44" s="115" t="s">
        <v>91</v>
      </c>
      <c r="D44" s="357" t="s">
        <v>103</v>
      </c>
      <c r="E44" s="335">
        <f>SUM(G89)</f>
        <v>0</v>
      </c>
      <c r="F44" s="334">
        <v>0</v>
      </c>
      <c r="G44" s="334">
        <f>SUM(E44-F44)</f>
        <v>0</v>
      </c>
      <c r="H44" s="126">
        <v>0</v>
      </c>
      <c r="I44" s="377">
        <f t="shared" ref="I44" si="22">SUM(G44-H44)</f>
        <v>0</v>
      </c>
      <c r="J44" s="293" t="s">
        <v>101</v>
      </c>
      <c r="K44" s="294" t="s">
        <v>104</v>
      </c>
    </row>
    <row r="45" spans="2:11" ht="19.95" customHeight="1">
      <c r="B45" s="124"/>
      <c r="C45" s="361" t="s">
        <v>17</v>
      </c>
      <c r="D45" s="365" t="s">
        <v>168</v>
      </c>
      <c r="E45" s="335">
        <f>SUM(G90)</f>
        <v>2880</v>
      </c>
      <c r="F45" s="334">
        <v>0</v>
      </c>
      <c r="G45" s="334">
        <f>SUM(E45-F45)</f>
        <v>2880</v>
      </c>
      <c r="H45" s="126">
        <v>0</v>
      </c>
      <c r="I45" s="377">
        <f t="shared" ref="I45" si="23">SUM(G45-H45)</f>
        <v>2880</v>
      </c>
      <c r="J45" s="293" t="s">
        <v>101</v>
      </c>
      <c r="K45" s="368" t="s">
        <v>172</v>
      </c>
    </row>
    <row r="46" spans="2:11" ht="19.95" customHeight="1">
      <c r="B46" s="123"/>
      <c r="C46" s="115" t="s">
        <v>91</v>
      </c>
      <c r="D46" s="331" t="s">
        <v>81</v>
      </c>
      <c r="E46" s="335">
        <f t="shared" ref="E46" si="24">SUM(G91)</f>
        <v>0</v>
      </c>
      <c r="F46" s="334">
        <v>0</v>
      </c>
      <c r="G46" s="334">
        <f t="shared" si="14"/>
        <v>0</v>
      </c>
      <c r="H46" s="126">
        <v>0</v>
      </c>
      <c r="I46" s="377">
        <f t="shared" si="15"/>
        <v>0</v>
      </c>
      <c r="J46" s="293" t="s">
        <v>101</v>
      </c>
      <c r="K46" s="295" t="s">
        <v>100</v>
      </c>
    </row>
    <row r="47" spans="2:11" ht="19.95" customHeight="1">
      <c r="B47" s="117" t="s">
        <v>71</v>
      </c>
      <c r="C47" s="115" t="s">
        <v>91</v>
      </c>
      <c r="D47" s="337" t="s">
        <v>83</v>
      </c>
      <c r="E47" s="332">
        <f>SUM(G92)</f>
        <v>556.23336000000006</v>
      </c>
      <c r="F47" s="333">
        <v>0</v>
      </c>
      <c r="G47" s="334">
        <f t="shared" si="14"/>
        <v>556.23336000000006</v>
      </c>
      <c r="H47" s="338">
        <v>0</v>
      </c>
      <c r="I47" s="377">
        <f t="shared" si="15"/>
        <v>556.23336000000006</v>
      </c>
      <c r="J47" s="293" t="s">
        <v>101</v>
      </c>
      <c r="K47" s="293" t="s">
        <v>95</v>
      </c>
    </row>
    <row r="48" spans="2:11" ht="19.95" customHeight="1">
      <c r="B48" s="117" t="s">
        <v>24</v>
      </c>
      <c r="C48" s="115" t="s">
        <v>72</v>
      </c>
      <c r="D48" s="337" t="s">
        <v>111</v>
      </c>
      <c r="E48" s="332">
        <f>SUM(G93)</f>
        <v>1334.9600639999999</v>
      </c>
      <c r="F48" s="333">
        <v>0</v>
      </c>
      <c r="G48" s="334">
        <f t="shared" si="14"/>
        <v>1334.9600639999999</v>
      </c>
      <c r="H48" s="338">
        <v>0</v>
      </c>
      <c r="I48" s="377">
        <f t="shared" si="15"/>
        <v>1334.9600639999999</v>
      </c>
      <c r="J48" s="293" t="s">
        <v>101</v>
      </c>
      <c r="K48" s="293" t="s">
        <v>112</v>
      </c>
    </row>
    <row r="49" spans="2:13" ht="19.95" customHeight="1">
      <c r="B49" s="193" t="s">
        <v>25</v>
      </c>
      <c r="C49" s="178" t="s">
        <v>72</v>
      </c>
      <c r="D49" s="337" t="s">
        <v>92</v>
      </c>
      <c r="E49" s="332">
        <f>SUM(G94)</f>
        <v>889.97337600000003</v>
      </c>
      <c r="F49" s="333">
        <v>0</v>
      </c>
      <c r="G49" s="334">
        <f t="shared" ref="G49" si="25">SUM(E49-F49)</f>
        <v>889.97337600000003</v>
      </c>
      <c r="H49" s="338">
        <v>0</v>
      </c>
      <c r="I49" s="377">
        <f t="shared" ref="I49" si="26">SUM(G49-H49)</f>
        <v>889.97337600000003</v>
      </c>
      <c r="J49" s="293" t="s">
        <v>101</v>
      </c>
      <c r="K49" s="293" t="s">
        <v>102</v>
      </c>
      <c r="L49" s="339"/>
    </row>
    <row r="50" spans="2:13" s="346" customFormat="1" ht="19.95" customHeight="1">
      <c r="B50" s="128"/>
      <c r="C50" s="129"/>
      <c r="D50" s="340"/>
      <c r="E50" s="341">
        <f>SUM(E38:E49)</f>
        <v>11124.667200000002</v>
      </c>
      <c r="F50" s="342"/>
      <c r="G50" s="343">
        <f>SUM(G38:G49)</f>
        <v>11124.667200000002</v>
      </c>
      <c r="H50" s="344"/>
      <c r="I50" s="345">
        <f>SUM(I38:I49)</f>
        <v>11124.667200000002</v>
      </c>
      <c r="J50" s="292"/>
      <c r="K50" s="292"/>
    </row>
    <row r="51" spans="2:13" ht="15.6">
      <c r="B51" s="72"/>
      <c r="C51" s="72"/>
      <c r="D51" s="73"/>
      <c r="E51" s="347"/>
      <c r="F51" s="348"/>
      <c r="G51" s="348"/>
      <c r="H51" s="349"/>
      <c r="I51" s="69"/>
    </row>
    <row r="52" spans="2:13" ht="15.6">
      <c r="B52" s="72"/>
      <c r="C52" s="72"/>
      <c r="D52" s="73"/>
      <c r="E52" s="347"/>
      <c r="F52" s="348"/>
      <c r="G52" s="348"/>
      <c r="H52" s="348"/>
      <c r="I52" s="348"/>
    </row>
    <row r="53" spans="2:13" s="302" customFormat="1" ht="14.55" customHeight="1">
      <c r="E53" s="350"/>
      <c r="F53" s="350"/>
      <c r="G53" s="350"/>
      <c r="H53" s="350"/>
      <c r="I53" s="69"/>
      <c r="J53" s="69"/>
      <c r="K53" s="69"/>
      <c r="L53" s="69"/>
      <c r="M53" s="69"/>
    </row>
    <row r="54" spans="2:13" ht="13.8">
      <c r="E54" s="351"/>
      <c r="F54" s="351"/>
      <c r="G54" s="351"/>
      <c r="H54" s="351"/>
      <c r="I54" s="69"/>
    </row>
    <row r="55" spans="2:13" ht="13.8">
      <c r="E55" s="351"/>
      <c r="F55" s="351"/>
      <c r="G55" s="351"/>
      <c r="H55" s="351"/>
      <c r="I55" s="69"/>
    </row>
    <row r="56" spans="2:13" ht="13.8">
      <c r="E56" s="351"/>
      <c r="F56" s="351"/>
      <c r="G56" s="351"/>
      <c r="H56" s="351"/>
      <c r="I56" s="69"/>
    </row>
    <row r="57" spans="2:13" ht="13.8">
      <c r="E57" s="351"/>
      <c r="F57" s="351"/>
      <c r="G57" s="351"/>
      <c r="H57" s="351"/>
      <c r="I57" s="69"/>
    </row>
    <row r="58" spans="2:13" ht="13.8">
      <c r="E58" s="351"/>
      <c r="F58" s="351"/>
      <c r="G58" s="351"/>
      <c r="H58" s="351"/>
      <c r="I58" s="69"/>
    </row>
    <row r="59" spans="2:13" ht="13.8">
      <c r="E59" s="351"/>
      <c r="F59" s="351"/>
      <c r="G59" s="351"/>
      <c r="H59" s="351"/>
      <c r="I59" s="69"/>
    </row>
    <row r="60" spans="2:13" ht="13.8" hidden="1">
      <c r="E60" s="351"/>
      <c r="F60" s="351"/>
      <c r="G60" s="351"/>
      <c r="H60" s="351"/>
      <c r="I60" s="69"/>
    </row>
    <row r="61" spans="2:13" ht="13.8" hidden="1">
      <c r="E61" s="351"/>
      <c r="F61" s="351"/>
      <c r="G61" s="351"/>
      <c r="H61" s="351"/>
      <c r="I61" s="69"/>
    </row>
    <row r="62" spans="2:13" ht="13.8" hidden="1">
      <c r="E62" s="351"/>
      <c r="F62" s="351"/>
      <c r="G62" s="351"/>
      <c r="H62" s="351"/>
      <c r="I62" s="69"/>
    </row>
    <row r="63" spans="2:13" ht="13.8" hidden="1">
      <c r="E63" s="351"/>
      <c r="F63" s="351"/>
      <c r="G63" s="351"/>
      <c r="H63" s="351"/>
      <c r="I63" s="69"/>
    </row>
    <row r="64" spans="2:13" ht="13.8" hidden="1">
      <c r="E64" s="351"/>
      <c r="F64" s="351"/>
      <c r="G64" s="351"/>
      <c r="H64" s="351"/>
      <c r="I64" s="69"/>
    </row>
    <row r="65" spans="5:9" ht="13.8" hidden="1">
      <c r="E65" s="351"/>
      <c r="F65" s="351"/>
      <c r="G65" s="351"/>
      <c r="H65" s="351"/>
      <c r="I65" s="69"/>
    </row>
    <row r="66" spans="5:9" ht="13.8" hidden="1">
      <c r="E66" s="351"/>
      <c r="F66" s="351"/>
      <c r="G66" s="351"/>
      <c r="H66" s="351"/>
      <c r="I66" s="69"/>
    </row>
    <row r="67" spans="5:9" ht="13.8" hidden="1">
      <c r="E67" s="351"/>
      <c r="F67" s="351"/>
      <c r="G67" s="351"/>
      <c r="H67" s="351"/>
      <c r="I67" s="69"/>
    </row>
    <row r="68" spans="5:9" ht="13.8" hidden="1">
      <c r="E68" s="351"/>
      <c r="F68" s="351"/>
      <c r="G68" s="351"/>
      <c r="H68" s="351"/>
      <c r="I68" s="69"/>
    </row>
    <row r="69" spans="5:9" ht="13.8" hidden="1">
      <c r="E69" s="351"/>
      <c r="F69" s="351"/>
      <c r="G69" s="351"/>
      <c r="H69" s="351"/>
      <c r="I69" s="69"/>
    </row>
    <row r="70" spans="5:9" ht="13.8" hidden="1">
      <c r="E70" s="351"/>
      <c r="F70" s="351"/>
      <c r="G70" s="351"/>
      <c r="H70" s="351"/>
      <c r="I70" s="69"/>
    </row>
    <row r="71" spans="5:9" ht="13.8" hidden="1">
      <c r="E71" s="351"/>
      <c r="F71" s="351"/>
      <c r="G71" s="351"/>
      <c r="H71" s="351"/>
      <c r="I71" s="69"/>
    </row>
    <row r="72" spans="5:9" ht="13.8" hidden="1">
      <c r="E72" s="351"/>
      <c r="F72" s="351"/>
      <c r="G72" s="351"/>
      <c r="H72" s="351"/>
      <c r="I72" s="69"/>
    </row>
    <row r="73" spans="5:9" ht="13.8" hidden="1">
      <c r="E73" s="351"/>
      <c r="F73" s="351"/>
      <c r="G73" s="351"/>
      <c r="H73" s="351"/>
      <c r="I73" s="69"/>
    </row>
    <row r="74" spans="5:9" ht="13.8">
      <c r="E74" s="351"/>
      <c r="F74" s="351"/>
      <c r="G74" s="351"/>
      <c r="H74" s="351"/>
      <c r="I74" s="69"/>
    </row>
    <row r="75" spans="5:9" ht="13.8">
      <c r="E75" s="351"/>
      <c r="F75" s="351"/>
      <c r="G75" s="351"/>
      <c r="H75" s="351"/>
      <c r="I75" s="69"/>
    </row>
    <row r="76" spans="5:9" ht="13.8">
      <c r="E76" s="351"/>
      <c r="F76" s="351"/>
      <c r="G76" s="351"/>
      <c r="H76" s="351"/>
      <c r="I76" s="69"/>
    </row>
    <row r="77" spans="5:9" ht="13.8">
      <c r="E77" s="351"/>
      <c r="F77" s="351"/>
      <c r="G77" s="351"/>
      <c r="H77" s="351"/>
      <c r="I77" s="69"/>
    </row>
    <row r="78" spans="5:9" ht="13.8">
      <c r="E78" s="351"/>
      <c r="F78" s="351"/>
      <c r="G78" s="351"/>
      <c r="H78" s="351"/>
      <c r="I78" s="69"/>
    </row>
    <row r="79" spans="5:9" ht="13.8">
      <c r="E79" s="351"/>
      <c r="F79" s="351"/>
      <c r="G79" s="351"/>
      <c r="H79" s="351"/>
      <c r="I79" s="69"/>
    </row>
    <row r="80" spans="5:9" ht="13.95" customHeight="1">
      <c r="E80" s="351"/>
      <c r="F80" s="351"/>
      <c r="G80" s="351"/>
      <c r="H80" s="351"/>
      <c r="I80" s="69"/>
    </row>
    <row r="81" spans="2:9" ht="19.95" hidden="1" customHeight="1">
      <c r="B81" s="382" t="s">
        <v>93</v>
      </c>
      <c r="C81" s="383"/>
      <c r="D81" s="383"/>
      <c r="E81" s="383"/>
      <c r="F81" s="383"/>
      <c r="G81" s="384"/>
      <c r="H81" s="113"/>
      <c r="I81" s="69"/>
    </row>
    <row r="82" spans="2:9" ht="22.2" hidden="1" customHeight="1">
      <c r="B82" s="110" t="s">
        <v>42</v>
      </c>
      <c r="C82" s="110" t="s">
        <v>13</v>
      </c>
      <c r="D82" s="110" t="s">
        <v>14</v>
      </c>
      <c r="E82" s="111" t="s">
        <v>22</v>
      </c>
      <c r="F82" s="111" t="s">
        <v>15</v>
      </c>
      <c r="G82" s="112" t="s">
        <v>16</v>
      </c>
      <c r="H82" s="113"/>
      <c r="I82" s="113"/>
    </row>
    <row r="83" spans="2:9" ht="22.2" hidden="1" customHeight="1">
      <c r="B83" s="122" t="s">
        <v>23</v>
      </c>
      <c r="C83" s="115" t="s">
        <v>91</v>
      </c>
      <c r="D83" s="331" t="s">
        <v>82</v>
      </c>
      <c r="E83" s="115">
        <v>0.75</v>
      </c>
      <c r="F83" s="298">
        <v>0</v>
      </c>
      <c r="G83" s="306">
        <f>SUMIF($C4:$C32,"คุณนิมิต จุ้ยอยู่ทอง",$H4:$H32)*E83</f>
        <v>0</v>
      </c>
      <c r="H83" s="352"/>
      <c r="I83" s="113"/>
    </row>
    <row r="84" spans="2:9" ht="22.2" hidden="1" customHeight="1">
      <c r="B84" s="124"/>
      <c r="C84" s="115" t="s">
        <v>91</v>
      </c>
      <c r="D84" s="331" t="s">
        <v>83</v>
      </c>
      <c r="E84" s="115">
        <v>0.75</v>
      </c>
      <c r="F84" s="298">
        <v>0</v>
      </c>
      <c r="G84" s="306">
        <f>SUMIF($C5:$C33,"คุณธวัช มีแสง",$H5:$H33)*E84</f>
        <v>1480.3704000000002</v>
      </c>
      <c r="H84" s="352"/>
      <c r="I84" s="113"/>
    </row>
    <row r="85" spans="2:9" ht="22.2" hidden="1" customHeight="1">
      <c r="B85" s="124"/>
      <c r="C85" s="115" t="s">
        <v>91</v>
      </c>
      <c r="D85" s="331" t="s">
        <v>84</v>
      </c>
      <c r="E85" s="115">
        <v>0.75</v>
      </c>
      <c r="F85" s="298">
        <v>0</v>
      </c>
      <c r="G85" s="306">
        <f>SUMIF($C5:$C32,"คุณแดง มูลสองแคว",$H5:$H32)*E85</f>
        <v>0</v>
      </c>
      <c r="H85" s="352"/>
      <c r="I85" s="113"/>
    </row>
    <row r="86" spans="2:9" ht="22.2" hidden="1" customHeight="1">
      <c r="B86" s="124"/>
      <c r="C86" s="115" t="s">
        <v>17</v>
      </c>
      <c r="D86" s="336" t="s">
        <v>85</v>
      </c>
      <c r="E86" s="115">
        <v>0.75</v>
      </c>
      <c r="F86" s="298">
        <v>0</v>
      </c>
      <c r="G86" s="306">
        <f>SUMIF($C5:$C32,"คุณนิยนต์ อยู่ทะเล",$H5:$H32)*E86</f>
        <v>0</v>
      </c>
      <c r="H86" s="352"/>
      <c r="I86" s="113"/>
    </row>
    <row r="87" spans="2:9" ht="22.2" hidden="1" customHeight="1">
      <c r="B87" s="124"/>
      <c r="C87" s="178" t="s">
        <v>91</v>
      </c>
      <c r="D87" s="337" t="s">
        <v>78</v>
      </c>
      <c r="E87" s="115">
        <v>0.75</v>
      </c>
      <c r="F87" s="298">
        <v>0</v>
      </c>
      <c r="G87" s="306">
        <f>SUMIF($C5:$C32,"คุณรุ่งอรุณ อินบุญรอด",$H5:$H32)*E87</f>
        <v>1967.13</v>
      </c>
      <c r="H87" s="352"/>
      <c r="I87" s="113"/>
    </row>
    <row r="88" spans="2:9" ht="22.2" hidden="1" customHeight="1">
      <c r="B88" s="124"/>
      <c r="C88" s="115" t="s">
        <v>91</v>
      </c>
      <c r="D88" s="337" t="s">
        <v>79</v>
      </c>
      <c r="E88" s="115">
        <v>0.75</v>
      </c>
      <c r="F88" s="298">
        <v>0</v>
      </c>
      <c r="G88" s="306">
        <f>SUMIF($C5:$C34,"คุณศศินาถ จุ้ยอยู่ทอง",$H5:$H37)*E88</f>
        <v>2016</v>
      </c>
      <c r="H88" s="352"/>
      <c r="I88" s="113"/>
    </row>
    <row r="89" spans="2:9" ht="22.2" hidden="1" customHeight="1">
      <c r="B89" s="124"/>
      <c r="C89" s="356" t="s">
        <v>91</v>
      </c>
      <c r="D89" s="357" t="s">
        <v>103</v>
      </c>
      <c r="E89" s="115">
        <v>0.75</v>
      </c>
      <c r="F89" s="298">
        <v>0</v>
      </c>
      <c r="G89" s="306">
        <f>SUMIF($C5:$C32,"คุณณรงศ์ศักย์ เหล่ารัตนเวช",$H5:$H32)*E89</f>
        <v>0</v>
      </c>
      <c r="H89" s="352"/>
      <c r="I89" s="113"/>
    </row>
    <row r="90" spans="2:9" ht="22.2" hidden="1" customHeight="1">
      <c r="B90" s="124"/>
      <c r="C90" s="356" t="s">
        <v>17</v>
      </c>
      <c r="D90" s="365" t="s">
        <v>168</v>
      </c>
      <c r="E90" s="115">
        <v>0.75</v>
      </c>
      <c r="F90" s="298">
        <v>0</v>
      </c>
      <c r="G90" s="306">
        <f>SUMIF($C6:$C33,"คุณชนัฐฎา สนคะมี",$H6:$H33)*E90</f>
        <v>2880</v>
      </c>
      <c r="H90" s="352"/>
      <c r="I90" s="113"/>
    </row>
    <row r="91" spans="2:9" ht="22.2" hidden="1" customHeight="1">
      <c r="B91" s="123"/>
      <c r="C91" s="115" t="s">
        <v>91</v>
      </c>
      <c r="D91" s="331" t="s">
        <v>81</v>
      </c>
      <c r="E91" s="115">
        <v>0.75</v>
      </c>
      <c r="F91" s="298">
        <v>0</v>
      </c>
      <c r="G91" s="306">
        <f>SUMIF($C5:$C32,"คุณธัญลักษณ์ หมื่นหลุบกุง",$H5:$H32)*E91</f>
        <v>0</v>
      </c>
      <c r="H91" s="352"/>
      <c r="I91" s="113"/>
    </row>
    <row r="92" spans="2:9" ht="22.2" hidden="1" customHeight="1">
      <c r="B92" s="117" t="s">
        <v>71</v>
      </c>
      <c r="C92" s="115" t="s">
        <v>91</v>
      </c>
      <c r="D92" s="331" t="s">
        <v>83</v>
      </c>
      <c r="E92" s="115">
        <v>0.05</v>
      </c>
      <c r="F92" s="298">
        <v>0</v>
      </c>
      <c r="G92" s="306">
        <f>$H$32*E92</f>
        <v>556.23336000000006</v>
      </c>
      <c r="H92" s="113"/>
      <c r="I92" s="113"/>
    </row>
    <row r="93" spans="2:9" ht="22.2" hidden="1" customHeight="1">
      <c r="B93" s="117" t="s">
        <v>24</v>
      </c>
      <c r="C93" s="115" t="s">
        <v>72</v>
      </c>
      <c r="D93" s="331" t="s">
        <v>111</v>
      </c>
      <c r="E93" s="115">
        <v>0.12</v>
      </c>
      <c r="F93" s="298">
        <v>0</v>
      </c>
      <c r="G93" s="306">
        <f>$H$32*E93</f>
        <v>1334.9600639999999</v>
      </c>
      <c r="H93" s="113"/>
      <c r="I93" s="113"/>
    </row>
    <row r="94" spans="2:9" ht="22.2" hidden="1" customHeight="1">
      <c r="B94" s="117" t="s">
        <v>25</v>
      </c>
      <c r="C94" s="115" t="s">
        <v>72</v>
      </c>
      <c r="D94" s="331" t="s">
        <v>92</v>
      </c>
      <c r="E94" s="115">
        <v>0.08</v>
      </c>
      <c r="F94" s="298">
        <v>0</v>
      </c>
      <c r="G94" s="353">
        <f>$H$32*E94</f>
        <v>889.97337600000003</v>
      </c>
      <c r="H94" s="113"/>
      <c r="I94" s="113"/>
    </row>
    <row r="95" spans="2:9" ht="18.600000000000001" hidden="1" customHeight="1">
      <c r="B95" s="72"/>
      <c r="C95" s="72"/>
      <c r="D95" s="73"/>
      <c r="E95" s="347"/>
      <c r="F95" s="348"/>
      <c r="G95" s="354">
        <f>SUM(G83:G94)</f>
        <v>11124.667200000002</v>
      </c>
      <c r="H95" s="113"/>
      <c r="I95" s="69"/>
    </row>
    <row r="96" spans="2:9" ht="13.8" hidden="1">
      <c r="E96" s="351"/>
      <c r="F96" s="351"/>
      <c r="G96" s="351"/>
      <c r="H96" s="113"/>
      <c r="I96" s="351"/>
    </row>
    <row r="97" spans="5:9" ht="13.8">
      <c r="E97" s="351"/>
      <c r="F97" s="351"/>
      <c r="G97" s="351"/>
      <c r="H97" s="113"/>
      <c r="I97" s="351"/>
    </row>
    <row r="98" spans="5:9" ht="13.8">
      <c r="E98" s="351"/>
      <c r="F98" s="351"/>
      <c r="G98" s="351"/>
      <c r="H98" s="113"/>
      <c r="I98" s="351"/>
    </row>
    <row r="99" spans="5:9" ht="13.8">
      <c r="E99" s="351"/>
      <c r="F99" s="351"/>
      <c r="G99" s="351"/>
      <c r="H99" s="113"/>
      <c r="I99" s="351"/>
    </row>
    <row r="100" spans="5:9" ht="13.8">
      <c r="E100" s="351"/>
      <c r="F100" s="351"/>
      <c r="G100" s="351"/>
      <c r="H100" s="351"/>
      <c r="I100" s="351"/>
    </row>
    <row r="101" spans="5:9" ht="13.8">
      <c r="E101" s="351"/>
      <c r="F101" s="351"/>
      <c r="G101" s="351"/>
      <c r="H101" s="351"/>
      <c r="I101" s="351"/>
    </row>
    <row r="102" spans="5:9" ht="13.8">
      <c r="E102" s="351"/>
      <c r="F102" s="351"/>
      <c r="G102" s="351"/>
      <c r="H102" s="351"/>
      <c r="I102" s="351"/>
    </row>
    <row r="103" spans="5:9" ht="13.8">
      <c r="E103" s="351"/>
      <c r="F103" s="351"/>
      <c r="G103" s="351"/>
      <c r="H103" s="351"/>
      <c r="I103" s="351"/>
    </row>
    <row r="104" spans="5:9" ht="13.8">
      <c r="E104" s="351"/>
      <c r="F104" s="351"/>
      <c r="G104" s="351"/>
      <c r="H104" s="351"/>
      <c r="I104" s="351"/>
    </row>
    <row r="105" spans="5:9" ht="13.8">
      <c r="E105" s="351"/>
      <c r="F105" s="351"/>
      <c r="G105" s="351"/>
      <c r="H105" s="351"/>
      <c r="I105" s="351"/>
    </row>
    <row r="106" spans="5:9" ht="13.8">
      <c r="E106" s="351"/>
      <c r="F106" s="351"/>
      <c r="G106" s="351"/>
      <c r="H106" s="351"/>
      <c r="I106" s="351"/>
    </row>
    <row r="107" spans="5:9" ht="13.8">
      <c r="E107" s="351"/>
      <c r="F107" s="351"/>
      <c r="G107" s="351"/>
      <c r="H107" s="351"/>
      <c r="I107" s="351"/>
    </row>
    <row r="108" spans="5:9" ht="13.8">
      <c r="E108" s="351"/>
      <c r="F108" s="351"/>
      <c r="G108" s="351"/>
      <c r="H108" s="351"/>
      <c r="I108" s="351"/>
    </row>
    <row r="109" spans="5:9" ht="13.95" customHeight="1">
      <c r="E109" s="351"/>
      <c r="F109" s="351"/>
      <c r="G109" s="351"/>
      <c r="H109" s="351"/>
      <c r="I109" s="351"/>
    </row>
    <row r="110" spans="5:9" ht="13.95" customHeight="1">
      <c r="E110" s="351"/>
      <c r="F110" s="351"/>
      <c r="G110" s="351"/>
      <c r="H110" s="351"/>
      <c r="I110" s="351"/>
    </row>
    <row r="111" spans="5:9" ht="13.95" customHeight="1">
      <c r="E111" s="351"/>
      <c r="F111" s="351"/>
      <c r="G111" s="351"/>
      <c r="H111" s="351"/>
      <c r="I111" s="351"/>
    </row>
    <row r="112" spans="5:9" ht="13.8">
      <c r="E112" s="351"/>
      <c r="F112" s="351"/>
      <c r="G112" s="351"/>
      <c r="H112" s="351"/>
      <c r="I112" s="351"/>
    </row>
    <row r="113" spans="5:9" ht="13.8">
      <c r="E113" s="351"/>
      <c r="F113" s="351"/>
      <c r="G113" s="351"/>
      <c r="H113" s="351"/>
      <c r="I113" s="351"/>
    </row>
    <row r="114" spans="5:9" ht="13.8">
      <c r="E114" s="351"/>
      <c r="F114" s="351"/>
      <c r="G114" s="351"/>
      <c r="H114" s="351"/>
      <c r="I114" s="351"/>
    </row>
    <row r="115" spans="5:9" ht="13.8">
      <c r="E115" s="351"/>
      <c r="F115" s="351"/>
      <c r="G115" s="351"/>
      <c r="H115" s="351"/>
      <c r="I115" s="351"/>
    </row>
    <row r="116" spans="5:9" ht="13.8">
      <c r="E116" s="351"/>
      <c r="F116" s="351"/>
      <c r="G116" s="351"/>
      <c r="H116" s="351"/>
      <c r="I116" s="351"/>
    </row>
    <row r="117" spans="5:9" ht="13.8">
      <c r="E117" s="351"/>
      <c r="F117" s="351"/>
      <c r="G117" s="351"/>
      <c r="H117" s="351"/>
      <c r="I117" s="351"/>
    </row>
    <row r="118" spans="5:9" ht="13.8">
      <c r="E118" s="351"/>
      <c r="F118" s="351"/>
      <c r="G118" s="351"/>
      <c r="H118" s="351"/>
      <c r="I118" s="351"/>
    </row>
    <row r="119" spans="5:9" ht="13.8">
      <c r="E119" s="351"/>
      <c r="F119" s="351"/>
      <c r="G119" s="351"/>
      <c r="H119" s="351"/>
      <c r="I119" s="351"/>
    </row>
    <row r="120" spans="5:9" ht="13.8">
      <c r="E120" s="351"/>
      <c r="F120" s="351"/>
      <c r="G120" s="351"/>
      <c r="H120" s="351"/>
      <c r="I120" s="351"/>
    </row>
    <row r="121" spans="5:9" ht="13.8">
      <c r="E121" s="351"/>
      <c r="F121" s="351"/>
      <c r="G121" s="351"/>
      <c r="H121" s="351"/>
      <c r="I121" s="351"/>
    </row>
    <row r="122" spans="5:9" ht="13.8">
      <c r="E122" s="351"/>
      <c r="F122" s="351"/>
      <c r="G122" s="351"/>
      <c r="H122" s="351"/>
      <c r="I122" s="351"/>
    </row>
    <row r="123" spans="5:9" ht="13.8">
      <c r="E123" s="351"/>
      <c r="F123" s="351"/>
      <c r="G123" s="351"/>
      <c r="H123" s="351"/>
      <c r="I123" s="351"/>
    </row>
    <row r="124" spans="5:9" ht="13.8">
      <c r="E124" s="351"/>
      <c r="F124" s="351"/>
      <c r="G124" s="351"/>
      <c r="H124" s="351"/>
      <c r="I124" s="351"/>
    </row>
    <row r="125" spans="5:9" ht="13.8">
      <c r="E125" s="351"/>
      <c r="F125" s="351"/>
      <c r="G125" s="351"/>
      <c r="H125" s="351"/>
      <c r="I125" s="351"/>
    </row>
    <row r="126" spans="5:9" ht="13.8">
      <c r="E126" s="351"/>
      <c r="F126" s="351"/>
      <c r="G126" s="351"/>
      <c r="H126" s="351"/>
      <c r="I126" s="351"/>
    </row>
    <row r="127" spans="5:9" ht="13.8">
      <c r="E127" s="351"/>
      <c r="F127" s="351"/>
      <c r="G127" s="351"/>
      <c r="H127" s="351"/>
      <c r="I127" s="351"/>
    </row>
    <row r="128" spans="5:9" ht="13.8">
      <c r="E128" s="351"/>
      <c r="F128" s="351"/>
      <c r="G128" s="351"/>
      <c r="H128" s="351"/>
      <c r="I128" s="351"/>
    </row>
    <row r="129" spans="5:9" ht="13.8">
      <c r="E129" s="351"/>
      <c r="F129" s="351"/>
      <c r="G129" s="351"/>
      <c r="H129" s="351"/>
      <c r="I129" s="351"/>
    </row>
    <row r="130" spans="5:9" ht="13.8">
      <c r="E130" s="351"/>
      <c r="F130" s="351"/>
      <c r="G130" s="351"/>
      <c r="H130" s="351"/>
      <c r="I130" s="351"/>
    </row>
    <row r="131" spans="5:9" ht="13.8">
      <c r="E131" s="351"/>
      <c r="F131" s="351"/>
      <c r="G131" s="351"/>
      <c r="H131" s="351"/>
      <c r="I131" s="351"/>
    </row>
    <row r="132" spans="5:9" ht="13.8">
      <c r="E132" s="351"/>
      <c r="F132" s="351"/>
      <c r="G132" s="351"/>
      <c r="H132" s="351"/>
      <c r="I132" s="351"/>
    </row>
    <row r="133" spans="5:9" ht="13.8">
      <c r="E133" s="351"/>
      <c r="F133" s="351"/>
      <c r="G133" s="351"/>
      <c r="H133" s="351"/>
      <c r="I133" s="351"/>
    </row>
    <row r="134" spans="5:9" ht="13.8">
      <c r="E134" s="351"/>
      <c r="F134" s="351"/>
      <c r="G134" s="351"/>
      <c r="H134" s="351"/>
      <c r="I134" s="351"/>
    </row>
    <row r="135" spans="5:9" ht="13.8">
      <c r="E135" s="351"/>
      <c r="F135" s="351"/>
      <c r="G135" s="351"/>
      <c r="H135" s="351"/>
      <c r="I135" s="351"/>
    </row>
    <row r="136" spans="5:9" ht="13.8">
      <c r="E136" s="351"/>
      <c r="F136" s="351"/>
      <c r="G136" s="351"/>
      <c r="H136" s="351"/>
      <c r="I136" s="351"/>
    </row>
    <row r="137" spans="5:9" ht="13.8">
      <c r="E137" s="351"/>
      <c r="F137" s="351"/>
      <c r="G137" s="351"/>
      <c r="H137" s="351"/>
      <c r="I137" s="351"/>
    </row>
    <row r="138" spans="5:9" ht="13.8">
      <c r="E138" s="351"/>
      <c r="F138" s="351"/>
      <c r="G138" s="351"/>
      <c r="H138" s="351"/>
      <c r="I138" s="351"/>
    </row>
    <row r="139" spans="5:9" ht="13.8">
      <c r="E139" s="351"/>
      <c r="F139" s="351"/>
      <c r="G139" s="351"/>
      <c r="H139" s="351"/>
      <c r="I139" s="351"/>
    </row>
    <row r="140" spans="5:9" ht="13.8">
      <c r="E140" s="351"/>
      <c r="F140" s="351"/>
      <c r="G140" s="351"/>
      <c r="H140" s="351"/>
      <c r="I140" s="351"/>
    </row>
    <row r="141" spans="5:9" ht="13.8">
      <c r="E141" s="351"/>
      <c r="F141" s="351"/>
      <c r="G141" s="351"/>
      <c r="H141" s="351"/>
      <c r="I141" s="351"/>
    </row>
    <row r="142" spans="5:9" ht="13.8">
      <c r="E142" s="351"/>
      <c r="F142" s="351"/>
      <c r="G142" s="351"/>
      <c r="H142" s="351"/>
      <c r="I142" s="351"/>
    </row>
    <row r="143" spans="5:9" ht="13.8">
      <c r="E143" s="351"/>
      <c r="F143" s="351"/>
      <c r="G143" s="351"/>
      <c r="H143" s="351"/>
      <c r="I143" s="351"/>
    </row>
    <row r="144" spans="5:9" ht="13.8">
      <c r="E144" s="351"/>
      <c r="F144" s="351"/>
      <c r="G144" s="351"/>
      <c r="H144" s="351"/>
      <c r="I144" s="351"/>
    </row>
    <row r="145" spans="5:9" ht="13.8">
      <c r="E145" s="351"/>
      <c r="F145" s="351"/>
      <c r="G145" s="351"/>
      <c r="H145" s="351"/>
      <c r="I145" s="351"/>
    </row>
    <row r="146" spans="5:9" ht="13.8">
      <c r="E146" s="351"/>
      <c r="F146" s="351"/>
      <c r="G146" s="351"/>
      <c r="H146" s="351"/>
      <c r="I146" s="351"/>
    </row>
    <row r="147" spans="5:9" ht="13.8">
      <c r="E147" s="351"/>
      <c r="F147" s="351"/>
      <c r="G147" s="351"/>
      <c r="H147" s="351"/>
      <c r="I147" s="351"/>
    </row>
    <row r="148" spans="5:9" ht="13.8">
      <c r="E148" s="351"/>
      <c r="F148" s="351"/>
      <c r="G148" s="351"/>
      <c r="H148" s="351"/>
      <c r="I148" s="351"/>
    </row>
    <row r="149" spans="5:9" ht="13.8">
      <c r="E149" s="351"/>
      <c r="F149" s="351"/>
      <c r="G149" s="351"/>
      <c r="H149" s="351"/>
      <c r="I149" s="351"/>
    </row>
    <row r="150" spans="5:9" ht="13.8">
      <c r="E150" s="351"/>
      <c r="F150" s="351"/>
      <c r="G150" s="351"/>
      <c r="H150" s="351"/>
      <c r="I150" s="351"/>
    </row>
    <row r="151" spans="5:9" ht="13.8">
      <c r="E151" s="351"/>
      <c r="F151" s="351"/>
      <c r="G151" s="351"/>
      <c r="H151" s="351"/>
      <c r="I151" s="351"/>
    </row>
    <row r="152" spans="5:9" ht="13.8"/>
    <row r="153" spans="5:9" ht="13.8"/>
    <row r="154" spans="5:9" ht="13.8"/>
    <row r="155" spans="5:9" ht="13.8"/>
    <row r="156" spans="5:9" ht="13.8"/>
    <row r="157" spans="5:9" ht="13.8"/>
    <row r="158" spans="5:9" ht="13.8"/>
    <row r="159" spans="5:9" ht="13.8"/>
    <row r="160" spans="5:9" ht="13.8"/>
    <row r="161" ht="13.8"/>
    <row r="162" ht="13.8"/>
    <row r="163" ht="13.8"/>
    <row r="164" ht="13.8"/>
    <row r="165" ht="13.8"/>
    <row r="166" ht="13.95" customHeight="1"/>
    <row r="167" ht="13.95" customHeight="1"/>
    <row r="168" ht="13.95" customHeight="1"/>
    <row r="169" ht="13.95" customHeight="1"/>
    <row r="170" ht="13.95" customHeight="1"/>
    <row r="171" ht="13.95" customHeight="1"/>
    <row r="172" ht="13.95" customHeight="1"/>
    <row r="173" ht="13.95" customHeight="1"/>
    <row r="174" ht="13.95" customHeight="1"/>
    <row r="175" ht="13.95" customHeight="1"/>
    <row r="176" ht="13.95" customHeight="1"/>
    <row r="177" ht="13.95" customHeight="1"/>
    <row r="178" ht="13.95" customHeight="1"/>
    <row r="179" ht="13.95" customHeight="1"/>
    <row r="180" ht="13.95" customHeight="1"/>
    <row r="181" ht="13.95" customHeight="1"/>
    <row r="182" ht="13.95" customHeight="1"/>
    <row r="183" ht="13.95" customHeight="1"/>
    <row r="184" ht="13.95" customHeight="1"/>
    <row r="185" ht="13.95" customHeight="1"/>
    <row r="186" ht="13.95" customHeight="1"/>
    <row r="187" ht="13.95" customHeight="1"/>
    <row r="188" ht="13.95" customHeight="1"/>
    <row r="189" ht="13.95" customHeight="1"/>
    <row r="190" ht="13.95" customHeight="1"/>
  </sheetData>
  <mergeCells count="2">
    <mergeCell ref="B35:K36"/>
    <mergeCell ref="D23:D31"/>
  </mergeCells>
  <printOptions horizontalCentered="1"/>
  <pageMargins left="0.27559055118110237" right="0.19685039370078741" top="0.43307086614173229" bottom="0.35433070866141736" header="0.23622047244094491" footer="0"/>
  <pageSetup paperSize="9" scale="54"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5E478-D5A5-4B7F-B9CB-5B0CE3997B35}">
  <sheetPr codeName="Sheet3">
    <tabColor indexed="25"/>
    <pageSetUpPr fitToPage="1"/>
  </sheetPr>
  <dimension ref="A1:IR166"/>
  <sheetViews>
    <sheetView zoomScale="85" zoomScaleNormal="85" workbookViewId="0">
      <pane xSplit="7" ySplit="5" topLeftCell="H6" activePane="bottomRight" state="frozen"/>
      <selection pane="topRight" activeCell="F1" sqref="F1"/>
      <selection pane="bottomLeft" activeCell="A6" sqref="A6"/>
      <selection pane="bottomRight" activeCell="I14" sqref="I14"/>
    </sheetView>
  </sheetViews>
  <sheetFormatPr defaultColWidth="0" defaultRowHeight="0" customHeight="1" zeroHeight="1"/>
  <cols>
    <col min="1" max="1" width="7.5546875" style="3" customWidth="1"/>
    <col min="2" max="2" width="16.6640625" style="3" customWidth="1"/>
    <col min="3" max="3" width="48.109375" style="3" customWidth="1"/>
    <col min="4" max="4" width="25.6640625" style="34" bestFit="1" customWidth="1"/>
    <col min="5" max="5" width="35.5546875" style="34" bestFit="1" customWidth="1"/>
    <col min="6" max="6" width="16.77734375" style="35" customWidth="1"/>
    <col min="7" max="7" width="16.77734375" style="14" customWidth="1"/>
    <col min="8" max="8" width="18.109375" style="14" customWidth="1"/>
    <col min="9" max="9" width="18.21875" style="4" customWidth="1"/>
    <col min="10" max="11" width="19.109375" style="35" customWidth="1"/>
    <col min="12" max="16" width="17.33203125" style="12" customWidth="1"/>
    <col min="17" max="18" width="17.77734375" style="4" customWidth="1"/>
    <col min="19" max="19" width="17.77734375" style="12" customWidth="1"/>
    <col min="20" max="20" width="21" style="139" bestFit="1" customWidth="1"/>
    <col min="21" max="21" width="17.77734375" style="12" customWidth="1"/>
    <col min="23" max="23" width="17" style="12" customWidth="1"/>
    <col min="24" max="28" width="14.109375" style="3" hidden="1" customWidth="1"/>
    <col min="29" max="63" width="14.109375" style="3" hidden="1"/>
    <col min="64" max="250" width="0" style="3" hidden="1"/>
    <col min="251" max="251" width="7.5546875" style="3" customWidth="1"/>
    <col min="252" max="252" width="36.77734375" style="3" customWidth="1"/>
    <col min="253" max="254" width="0" style="3" hidden="1"/>
    <col min="255" max="255" width="16.6640625" style="3" customWidth="1"/>
    <col min="256" max="256" width="17.33203125" style="3" customWidth="1"/>
    <col min="257" max="257" width="15.5546875" style="3" customWidth="1"/>
    <col min="258" max="258" width="0" style="3" hidden="1"/>
    <col min="259" max="259" width="16.6640625" style="3" customWidth="1"/>
    <col min="260" max="260" width="17.44140625" style="3" customWidth="1"/>
    <col min="261" max="262" width="0" style="3" hidden="1"/>
    <col min="263" max="265" width="15.33203125" style="3" customWidth="1"/>
    <col min="266" max="266" width="17" style="3" customWidth="1"/>
    <col min="267" max="267" width="0" style="3" hidden="1"/>
    <col min="268" max="269" width="15.5546875" style="3" customWidth="1"/>
    <col min="270" max="270" width="13.6640625" style="3" customWidth="1"/>
    <col min="271" max="271" width="9" style="3" customWidth="1"/>
    <col min="272" max="272" width="49.88671875" style="3" customWidth="1"/>
    <col min="273" max="273" width="0" style="3" hidden="1"/>
    <col min="274" max="275" width="15.88671875" style="3" customWidth="1"/>
    <col min="276" max="276" width="14.5546875" style="3" customWidth="1"/>
    <col min="277" max="277" width="16.33203125" style="3" customWidth="1"/>
    <col min="278" max="278" width="18.109375" style="3" customWidth="1"/>
    <col min="279" max="279" width="14.109375" style="3" customWidth="1"/>
    <col min="280" max="506" width="0" style="3" hidden="1"/>
    <col min="507" max="507" width="7.5546875" style="3" customWidth="1"/>
    <col min="508" max="508" width="36.77734375" style="3" customWidth="1"/>
    <col min="509" max="510" width="0" style="3" hidden="1"/>
    <col min="511" max="511" width="16.6640625" style="3" customWidth="1"/>
    <col min="512" max="512" width="17.33203125" style="3" customWidth="1"/>
    <col min="513" max="513" width="15.5546875" style="3" customWidth="1"/>
    <col min="514" max="514" width="0" style="3" hidden="1"/>
    <col min="515" max="515" width="16.6640625" style="3" customWidth="1"/>
    <col min="516" max="516" width="17.44140625" style="3" customWidth="1"/>
    <col min="517" max="518" width="0" style="3" hidden="1"/>
    <col min="519" max="521" width="15.33203125" style="3" customWidth="1"/>
    <col min="522" max="522" width="17" style="3" customWidth="1"/>
    <col min="523" max="523" width="0" style="3" hidden="1"/>
    <col min="524" max="525" width="15.5546875" style="3" customWidth="1"/>
    <col min="526" max="526" width="13.6640625" style="3" customWidth="1"/>
    <col min="527" max="527" width="9" style="3" customWidth="1"/>
    <col min="528" max="528" width="49.88671875" style="3" customWidth="1"/>
    <col min="529" max="529" width="0" style="3" hidden="1"/>
    <col min="530" max="531" width="15.88671875" style="3" customWidth="1"/>
    <col min="532" max="532" width="14.5546875" style="3" customWidth="1"/>
    <col min="533" max="533" width="16.33203125" style="3" customWidth="1"/>
    <col min="534" max="534" width="18.109375" style="3" customWidth="1"/>
    <col min="535" max="535" width="14.109375" style="3" customWidth="1"/>
    <col min="536" max="762" width="0" style="3" hidden="1"/>
    <col min="763" max="763" width="7.5546875" style="3" customWidth="1"/>
    <col min="764" max="764" width="36.77734375" style="3" customWidth="1"/>
    <col min="765" max="766" width="0" style="3" hidden="1"/>
    <col min="767" max="767" width="16.6640625" style="3" customWidth="1"/>
    <col min="768" max="768" width="17.33203125" style="3" customWidth="1"/>
    <col min="769" max="769" width="15.5546875" style="3" customWidth="1"/>
    <col min="770" max="770" width="0" style="3" hidden="1"/>
    <col min="771" max="771" width="16.6640625" style="3" customWidth="1"/>
    <col min="772" max="772" width="17.44140625" style="3" customWidth="1"/>
    <col min="773" max="774" width="0" style="3" hidden="1"/>
    <col min="775" max="777" width="15.33203125" style="3" customWidth="1"/>
    <col min="778" max="778" width="17" style="3" customWidth="1"/>
    <col min="779" max="779" width="0" style="3" hidden="1"/>
    <col min="780" max="781" width="15.5546875" style="3" customWidth="1"/>
    <col min="782" max="782" width="13.6640625" style="3" customWidth="1"/>
    <col min="783" max="783" width="9" style="3" customWidth="1"/>
    <col min="784" max="784" width="49.88671875" style="3" customWidth="1"/>
    <col min="785" max="785" width="0" style="3" hidden="1"/>
    <col min="786" max="787" width="15.88671875" style="3" customWidth="1"/>
    <col min="788" max="788" width="14.5546875" style="3" customWidth="1"/>
    <col min="789" max="789" width="16.33203125" style="3" customWidth="1"/>
    <col min="790" max="790" width="18.109375" style="3" customWidth="1"/>
    <col min="791" max="791" width="14.109375" style="3" customWidth="1"/>
    <col min="792" max="1018" width="0" style="3" hidden="1"/>
    <col min="1019" max="1019" width="7.5546875" style="3" customWidth="1"/>
    <col min="1020" max="1020" width="36.77734375" style="3" customWidth="1"/>
    <col min="1021" max="1022" width="0" style="3" hidden="1"/>
    <col min="1023" max="1023" width="16.6640625" style="3" customWidth="1"/>
    <col min="1024" max="1024" width="17.33203125" style="3" customWidth="1"/>
    <col min="1025" max="1025" width="15.5546875" style="3" customWidth="1"/>
    <col min="1026" max="1026" width="0" style="3" hidden="1"/>
    <col min="1027" max="1027" width="16.6640625" style="3" customWidth="1"/>
    <col min="1028" max="1028" width="17.44140625" style="3" customWidth="1"/>
    <col min="1029" max="1030" width="0" style="3" hidden="1"/>
    <col min="1031" max="1033" width="15.33203125" style="3" customWidth="1"/>
    <col min="1034" max="1034" width="17" style="3" customWidth="1"/>
    <col min="1035" max="1035" width="0" style="3" hidden="1"/>
    <col min="1036" max="1037" width="15.5546875" style="3" customWidth="1"/>
    <col min="1038" max="1038" width="13.6640625" style="3" customWidth="1"/>
    <col min="1039" max="1039" width="9" style="3" customWidth="1"/>
    <col min="1040" max="1040" width="49.88671875" style="3" customWidth="1"/>
    <col min="1041" max="1041" width="0" style="3" hidden="1"/>
    <col min="1042" max="1043" width="15.88671875" style="3" customWidth="1"/>
    <col min="1044" max="1044" width="14.5546875" style="3" customWidth="1"/>
    <col min="1045" max="1045" width="16.33203125" style="3" customWidth="1"/>
    <col min="1046" max="1046" width="18.109375" style="3" customWidth="1"/>
    <col min="1047" max="1047" width="14.109375" style="3" customWidth="1"/>
    <col min="1048" max="1274" width="0" style="3" hidden="1"/>
    <col min="1275" max="1275" width="7.5546875" style="3" customWidth="1"/>
    <col min="1276" max="1276" width="36.77734375" style="3" customWidth="1"/>
    <col min="1277" max="1278" width="0" style="3" hidden="1"/>
    <col min="1279" max="1279" width="16.6640625" style="3" customWidth="1"/>
    <col min="1280" max="1280" width="17.33203125" style="3" customWidth="1"/>
    <col min="1281" max="1281" width="15.5546875" style="3" customWidth="1"/>
    <col min="1282" max="1282" width="0" style="3" hidden="1"/>
    <col min="1283" max="1283" width="16.6640625" style="3" customWidth="1"/>
    <col min="1284" max="1284" width="17.44140625" style="3" customWidth="1"/>
    <col min="1285" max="1286" width="0" style="3" hidden="1"/>
    <col min="1287" max="1289" width="15.33203125" style="3" customWidth="1"/>
    <col min="1290" max="1290" width="17" style="3" customWidth="1"/>
    <col min="1291" max="1291" width="0" style="3" hidden="1"/>
    <col min="1292" max="1293" width="15.5546875" style="3" customWidth="1"/>
    <col min="1294" max="1294" width="13.6640625" style="3" customWidth="1"/>
    <col min="1295" max="1295" width="9" style="3" customWidth="1"/>
    <col min="1296" max="1296" width="49.88671875" style="3" customWidth="1"/>
    <col min="1297" max="1297" width="0" style="3" hidden="1"/>
    <col min="1298" max="1299" width="15.88671875" style="3" customWidth="1"/>
    <col min="1300" max="1300" width="14.5546875" style="3" customWidth="1"/>
    <col min="1301" max="1301" width="16.33203125" style="3" customWidth="1"/>
    <col min="1302" max="1302" width="18.109375" style="3" customWidth="1"/>
    <col min="1303" max="1303" width="14.109375" style="3" customWidth="1"/>
    <col min="1304" max="1530" width="0" style="3" hidden="1"/>
    <col min="1531" max="1531" width="7.5546875" style="3" customWidth="1"/>
    <col min="1532" max="1532" width="36.77734375" style="3" customWidth="1"/>
    <col min="1533" max="1534" width="0" style="3" hidden="1"/>
    <col min="1535" max="1535" width="16.6640625" style="3" customWidth="1"/>
    <col min="1536" max="1536" width="17.33203125" style="3" customWidth="1"/>
    <col min="1537" max="1537" width="15.5546875" style="3" customWidth="1"/>
    <col min="1538" max="1538" width="0" style="3" hidden="1"/>
    <col min="1539" max="1539" width="16.6640625" style="3" customWidth="1"/>
    <col min="1540" max="1540" width="17.44140625" style="3" customWidth="1"/>
    <col min="1541" max="1542" width="0" style="3" hidden="1"/>
    <col min="1543" max="1545" width="15.33203125" style="3" customWidth="1"/>
    <col min="1546" max="1546" width="17" style="3" customWidth="1"/>
    <col min="1547" max="1547" width="0" style="3" hidden="1"/>
    <col min="1548" max="1549" width="15.5546875" style="3" customWidth="1"/>
    <col min="1550" max="1550" width="13.6640625" style="3" customWidth="1"/>
    <col min="1551" max="1551" width="9" style="3" customWidth="1"/>
    <col min="1552" max="1552" width="49.88671875" style="3" customWidth="1"/>
    <col min="1553" max="1553" width="0" style="3" hidden="1"/>
    <col min="1554" max="1555" width="15.88671875" style="3" customWidth="1"/>
    <col min="1556" max="1556" width="14.5546875" style="3" customWidth="1"/>
    <col min="1557" max="1557" width="16.33203125" style="3" customWidth="1"/>
    <col min="1558" max="1558" width="18.109375" style="3" customWidth="1"/>
    <col min="1559" max="1559" width="14.109375" style="3" customWidth="1"/>
    <col min="1560" max="1786" width="0" style="3" hidden="1"/>
    <col min="1787" max="1787" width="7.5546875" style="3" customWidth="1"/>
    <col min="1788" max="1788" width="36.77734375" style="3" customWidth="1"/>
    <col min="1789" max="1790" width="0" style="3" hidden="1"/>
    <col min="1791" max="1791" width="16.6640625" style="3" customWidth="1"/>
    <col min="1792" max="1792" width="17.33203125" style="3" customWidth="1"/>
    <col min="1793" max="1793" width="15.5546875" style="3" customWidth="1"/>
    <col min="1794" max="1794" width="0" style="3" hidden="1"/>
    <col min="1795" max="1795" width="16.6640625" style="3" customWidth="1"/>
    <col min="1796" max="1796" width="17.44140625" style="3" customWidth="1"/>
    <col min="1797" max="1798" width="0" style="3" hidden="1"/>
    <col min="1799" max="1801" width="15.33203125" style="3" customWidth="1"/>
    <col min="1802" max="1802" width="17" style="3" customWidth="1"/>
    <col min="1803" max="1803" width="0" style="3" hidden="1"/>
    <col min="1804" max="1805" width="15.5546875" style="3" customWidth="1"/>
    <col min="1806" max="1806" width="13.6640625" style="3" customWidth="1"/>
    <col min="1807" max="1807" width="9" style="3" customWidth="1"/>
    <col min="1808" max="1808" width="49.88671875" style="3" customWidth="1"/>
    <col min="1809" max="1809" width="0" style="3" hidden="1"/>
    <col min="1810" max="1811" width="15.88671875" style="3" customWidth="1"/>
    <col min="1812" max="1812" width="14.5546875" style="3" customWidth="1"/>
    <col min="1813" max="1813" width="16.33203125" style="3" customWidth="1"/>
    <col min="1814" max="1814" width="18.109375" style="3" customWidth="1"/>
    <col min="1815" max="1815" width="14.109375" style="3" customWidth="1"/>
    <col min="1816" max="2042" width="0" style="3" hidden="1"/>
    <col min="2043" max="2043" width="7.5546875" style="3" customWidth="1"/>
    <col min="2044" max="2044" width="36.77734375" style="3" customWidth="1"/>
    <col min="2045" max="2046" width="0" style="3" hidden="1"/>
    <col min="2047" max="2047" width="16.6640625" style="3" customWidth="1"/>
    <col min="2048" max="2048" width="17.33203125" style="3" customWidth="1"/>
    <col min="2049" max="2049" width="15.5546875" style="3" customWidth="1"/>
    <col min="2050" max="2050" width="0" style="3" hidden="1"/>
    <col min="2051" max="2051" width="16.6640625" style="3" customWidth="1"/>
    <col min="2052" max="2052" width="17.44140625" style="3" customWidth="1"/>
    <col min="2053" max="2054" width="0" style="3" hidden="1"/>
    <col min="2055" max="2057" width="15.33203125" style="3" customWidth="1"/>
    <col min="2058" max="2058" width="17" style="3" customWidth="1"/>
    <col min="2059" max="2059" width="0" style="3" hidden="1"/>
    <col min="2060" max="2061" width="15.5546875" style="3" customWidth="1"/>
    <col min="2062" max="2062" width="13.6640625" style="3" customWidth="1"/>
    <col min="2063" max="2063" width="9" style="3" customWidth="1"/>
    <col min="2064" max="2064" width="49.88671875" style="3" customWidth="1"/>
    <col min="2065" max="2065" width="0" style="3" hidden="1"/>
    <col min="2066" max="2067" width="15.88671875" style="3" customWidth="1"/>
    <col min="2068" max="2068" width="14.5546875" style="3" customWidth="1"/>
    <col min="2069" max="2069" width="16.33203125" style="3" customWidth="1"/>
    <col min="2070" max="2070" width="18.109375" style="3" customWidth="1"/>
    <col min="2071" max="2071" width="14.109375" style="3" customWidth="1"/>
    <col min="2072" max="2298" width="0" style="3" hidden="1"/>
    <col min="2299" max="2299" width="7.5546875" style="3" customWidth="1"/>
    <col min="2300" max="2300" width="36.77734375" style="3" customWidth="1"/>
    <col min="2301" max="2302" width="0" style="3" hidden="1"/>
    <col min="2303" max="2303" width="16.6640625" style="3" customWidth="1"/>
    <col min="2304" max="2304" width="17.33203125" style="3" customWidth="1"/>
    <col min="2305" max="2305" width="15.5546875" style="3" customWidth="1"/>
    <col min="2306" max="2306" width="0" style="3" hidden="1"/>
    <col min="2307" max="2307" width="16.6640625" style="3" customWidth="1"/>
    <col min="2308" max="2308" width="17.44140625" style="3" customWidth="1"/>
    <col min="2309" max="2310" width="0" style="3" hidden="1"/>
    <col min="2311" max="2313" width="15.33203125" style="3" customWidth="1"/>
    <col min="2314" max="2314" width="17" style="3" customWidth="1"/>
    <col min="2315" max="2315" width="0" style="3" hidden="1"/>
    <col min="2316" max="2317" width="15.5546875" style="3" customWidth="1"/>
    <col min="2318" max="2318" width="13.6640625" style="3" customWidth="1"/>
    <col min="2319" max="2319" width="9" style="3" customWidth="1"/>
    <col min="2320" max="2320" width="49.88671875" style="3" customWidth="1"/>
    <col min="2321" max="2321" width="0" style="3" hidden="1"/>
    <col min="2322" max="2323" width="15.88671875" style="3" customWidth="1"/>
    <col min="2324" max="2324" width="14.5546875" style="3" customWidth="1"/>
    <col min="2325" max="2325" width="16.33203125" style="3" customWidth="1"/>
    <col min="2326" max="2326" width="18.109375" style="3" customWidth="1"/>
    <col min="2327" max="2327" width="14.109375" style="3" customWidth="1"/>
    <col min="2328" max="2554" width="0" style="3" hidden="1"/>
    <col min="2555" max="2555" width="7.5546875" style="3" customWidth="1"/>
    <col min="2556" max="2556" width="36.77734375" style="3" customWidth="1"/>
    <col min="2557" max="2558" width="0" style="3" hidden="1"/>
    <col min="2559" max="2559" width="16.6640625" style="3" customWidth="1"/>
    <col min="2560" max="2560" width="17.33203125" style="3" customWidth="1"/>
    <col min="2561" max="2561" width="15.5546875" style="3" customWidth="1"/>
    <col min="2562" max="2562" width="0" style="3" hidden="1"/>
    <col min="2563" max="2563" width="16.6640625" style="3" customWidth="1"/>
    <col min="2564" max="2564" width="17.44140625" style="3" customWidth="1"/>
    <col min="2565" max="2566" width="0" style="3" hidden="1"/>
    <col min="2567" max="2569" width="15.33203125" style="3" customWidth="1"/>
    <col min="2570" max="2570" width="17" style="3" customWidth="1"/>
    <col min="2571" max="2571" width="0" style="3" hidden="1"/>
    <col min="2572" max="2573" width="15.5546875" style="3" customWidth="1"/>
    <col min="2574" max="2574" width="13.6640625" style="3" customWidth="1"/>
    <col min="2575" max="2575" width="9" style="3" customWidth="1"/>
    <col min="2576" max="2576" width="49.88671875" style="3" customWidth="1"/>
    <col min="2577" max="2577" width="0" style="3" hidden="1"/>
    <col min="2578" max="2579" width="15.88671875" style="3" customWidth="1"/>
    <col min="2580" max="2580" width="14.5546875" style="3" customWidth="1"/>
    <col min="2581" max="2581" width="16.33203125" style="3" customWidth="1"/>
    <col min="2582" max="2582" width="18.109375" style="3" customWidth="1"/>
    <col min="2583" max="2583" width="14.109375" style="3" customWidth="1"/>
    <col min="2584" max="2810" width="0" style="3" hidden="1"/>
    <col min="2811" max="2811" width="7.5546875" style="3" customWidth="1"/>
    <col min="2812" max="2812" width="36.77734375" style="3" customWidth="1"/>
    <col min="2813" max="2814" width="0" style="3" hidden="1"/>
    <col min="2815" max="2815" width="16.6640625" style="3" customWidth="1"/>
    <col min="2816" max="2816" width="17.33203125" style="3" customWidth="1"/>
    <col min="2817" max="2817" width="15.5546875" style="3" customWidth="1"/>
    <col min="2818" max="2818" width="0" style="3" hidden="1"/>
    <col min="2819" max="2819" width="16.6640625" style="3" customWidth="1"/>
    <col min="2820" max="2820" width="17.44140625" style="3" customWidth="1"/>
    <col min="2821" max="2822" width="0" style="3" hidden="1"/>
    <col min="2823" max="2825" width="15.33203125" style="3" customWidth="1"/>
    <col min="2826" max="2826" width="17" style="3" customWidth="1"/>
    <col min="2827" max="2827" width="0" style="3" hidden="1"/>
    <col min="2828" max="2829" width="15.5546875" style="3" customWidth="1"/>
    <col min="2830" max="2830" width="13.6640625" style="3" customWidth="1"/>
    <col min="2831" max="2831" width="9" style="3" customWidth="1"/>
    <col min="2832" max="2832" width="49.88671875" style="3" customWidth="1"/>
    <col min="2833" max="2833" width="0" style="3" hidden="1"/>
    <col min="2834" max="2835" width="15.88671875" style="3" customWidth="1"/>
    <col min="2836" max="2836" width="14.5546875" style="3" customWidth="1"/>
    <col min="2837" max="2837" width="16.33203125" style="3" customWidth="1"/>
    <col min="2838" max="2838" width="18.109375" style="3" customWidth="1"/>
    <col min="2839" max="2839" width="14.109375" style="3" customWidth="1"/>
    <col min="2840" max="3066" width="0" style="3" hidden="1"/>
    <col min="3067" max="3067" width="7.5546875" style="3" customWidth="1"/>
    <col min="3068" max="3068" width="36.77734375" style="3" customWidth="1"/>
    <col min="3069" max="3070" width="0" style="3" hidden="1"/>
    <col min="3071" max="3071" width="16.6640625" style="3" customWidth="1"/>
    <col min="3072" max="3072" width="17.33203125" style="3" customWidth="1"/>
    <col min="3073" max="3073" width="15.5546875" style="3" customWidth="1"/>
    <col min="3074" max="3074" width="0" style="3" hidden="1"/>
    <col min="3075" max="3075" width="16.6640625" style="3" customWidth="1"/>
    <col min="3076" max="3076" width="17.44140625" style="3" customWidth="1"/>
    <col min="3077" max="3078" width="0" style="3" hidden="1"/>
    <col min="3079" max="3081" width="15.33203125" style="3" customWidth="1"/>
    <col min="3082" max="3082" width="17" style="3" customWidth="1"/>
    <col min="3083" max="3083" width="0" style="3" hidden="1"/>
    <col min="3084" max="3085" width="15.5546875" style="3" customWidth="1"/>
    <col min="3086" max="3086" width="13.6640625" style="3" customWidth="1"/>
    <col min="3087" max="3087" width="9" style="3" customWidth="1"/>
    <col min="3088" max="3088" width="49.88671875" style="3" customWidth="1"/>
    <col min="3089" max="3089" width="0" style="3" hidden="1"/>
    <col min="3090" max="3091" width="15.88671875" style="3" customWidth="1"/>
    <col min="3092" max="3092" width="14.5546875" style="3" customWidth="1"/>
    <col min="3093" max="3093" width="16.33203125" style="3" customWidth="1"/>
    <col min="3094" max="3094" width="18.109375" style="3" customWidth="1"/>
    <col min="3095" max="3095" width="14.109375" style="3" customWidth="1"/>
    <col min="3096" max="3322" width="0" style="3" hidden="1"/>
    <col min="3323" max="3323" width="7.5546875" style="3" customWidth="1"/>
    <col min="3324" max="3324" width="36.77734375" style="3" customWidth="1"/>
    <col min="3325" max="3326" width="0" style="3" hidden="1"/>
    <col min="3327" max="3327" width="16.6640625" style="3" customWidth="1"/>
    <col min="3328" max="3328" width="17.33203125" style="3" customWidth="1"/>
    <col min="3329" max="3329" width="15.5546875" style="3" customWidth="1"/>
    <col min="3330" max="3330" width="0" style="3" hidden="1"/>
    <col min="3331" max="3331" width="16.6640625" style="3" customWidth="1"/>
    <col min="3332" max="3332" width="17.44140625" style="3" customWidth="1"/>
    <col min="3333" max="3334" width="0" style="3" hidden="1"/>
    <col min="3335" max="3337" width="15.33203125" style="3" customWidth="1"/>
    <col min="3338" max="3338" width="17" style="3" customWidth="1"/>
    <col min="3339" max="3339" width="0" style="3" hidden="1"/>
    <col min="3340" max="3341" width="15.5546875" style="3" customWidth="1"/>
    <col min="3342" max="3342" width="13.6640625" style="3" customWidth="1"/>
    <col min="3343" max="3343" width="9" style="3" customWidth="1"/>
    <col min="3344" max="3344" width="49.88671875" style="3" customWidth="1"/>
    <col min="3345" max="3345" width="0" style="3" hidden="1"/>
    <col min="3346" max="3347" width="15.88671875" style="3" customWidth="1"/>
    <col min="3348" max="3348" width="14.5546875" style="3" customWidth="1"/>
    <col min="3349" max="3349" width="16.33203125" style="3" customWidth="1"/>
    <col min="3350" max="3350" width="18.109375" style="3" customWidth="1"/>
    <col min="3351" max="3351" width="14.109375" style="3" customWidth="1"/>
    <col min="3352" max="3578" width="0" style="3" hidden="1"/>
    <col min="3579" max="3579" width="7.5546875" style="3" customWidth="1"/>
    <col min="3580" max="3580" width="36.77734375" style="3" customWidth="1"/>
    <col min="3581" max="3582" width="0" style="3" hidden="1"/>
    <col min="3583" max="3583" width="16.6640625" style="3" customWidth="1"/>
    <col min="3584" max="3584" width="17.33203125" style="3" customWidth="1"/>
    <col min="3585" max="3585" width="15.5546875" style="3" customWidth="1"/>
    <col min="3586" max="3586" width="0" style="3" hidden="1"/>
    <col min="3587" max="3587" width="16.6640625" style="3" customWidth="1"/>
    <col min="3588" max="3588" width="17.44140625" style="3" customWidth="1"/>
    <col min="3589" max="3590" width="0" style="3" hidden="1"/>
    <col min="3591" max="3593" width="15.33203125" style="3" customWidth="1"/>
    <col min="3594" max="3594" width="17" style="3" customWidth="1"/>
    <col min="3595" max="3595" width="0" style="3" hidden="1"/>
    <col min="3596" max="3597" width="15.5546875" style="3" customWidth="1"/>
    <col min="3598" max="3598" width="13.6640625" style="3" customWidth="1"/>
    <col min="3599" max="3599" width="9" style="3" customWidth="1"/>
    <col min="3600" max="3600" width="49.88671875" style="3" customWidth="1"/>
    <col min="3601" max="3601" width="0" style="3" hidden="1"/>
    <col min="3602" max="3603" width="15.88671875" style="3" customWidth="1"/>
    <col min="3604" max="3604" width="14.5546875" style="3" customWidth="1"/>
    <col min="3605" max="3605" width="16.33203125" style="3" customWidth="1"/>
    <col min="3606" max="3606" width="18.109375" style="3" customWidth="1"/>
    <col min="3607" max="3607" width="14.109375" style="3" customWidth="1"/>
    <col min="3608" max="3834" width="0" style="3" hidden="1"/>
    <col min="3835" max="3835" width="7.5546875" style="3" customWidth="1"/>
    <col min="3836" max="3836" width="36.77734375" style="3" customWidth="1"/>
    <col min="3837" max="3838" width="0" style="3" hidden="1"/>
    <col min="3839" max="3839" width="16.6640625" style="3" customWidth="1"/>
    <col min="3840" max="3840" width="17.33203125" style="3" customWidth="1"/>
    <col min="3841" max="3841" width="15.5546875" style="3" customWidth="1"/>
    <col min="3842" max="3842" width="0" style="3" hidden="1"/>
    <col min="3843" max="3843" width="16.6640625" style="3" customWidth="1"/>
    <col min="3844" max="3844" width="17.44140625" style="3" customWidth="1"/>
    <col min="3845" max="3846" width="0" style="3" hidden="1"/>
    <col min="3847" max="3849" width="15.33203125" style="3" customWidth="1"/>
    <col min="3850" max="3850" width="17" style="3" customWidth="1"/>
    <col min="3851" max="3851" width="0" style="3" hidden="1"/>
    <col min="3852" max="3853" width="15.5546875" style="3" customWidth="1"/>
    <col min="3854" max="3854" width="13.6640625" style="3" customWidth="1"/>
    <col min="3855" max="3855" width="9" style="3" customWidth="1"/>
    <col min="3856" max="3856" width="49.88671875" style="3" customWidth="1"/>
    <col min="3857" max="3857" width="0" style="3" hidden="1"/>
    <col min="3858" max="3859" width="15.88671875" style="3" customWidth="1"/>
    <col min="3860" max="3860" width="14.5546875" style="3" customWidth="1"/>
    <col min="3861" max="3861" width="16.33203125" style="3" customWidth="1"/>
    <col min="3862" max="3862" width="18.109375" style="3" customWidth="1"/>
    <col min="3863" max="3863" width="14.109375" style="3" customWidth="1"/>
    <col min="3864" max="4090" width="0" style="3" hidden="1"/>
    <col min="4091" max="4091" width="7.5546875" style="3" customWidth="1"/>
    <col min="4092" max="4092" width="36.77734375" style="3" customWidth="1"/>
    <col min="4093" max="4094" width="0" style="3" hidden="1"/>
    <col min="4095" max="4095" width="16.6640625" style="3" customWidth="1"/>
    <col min="4096" max="4096" width="17.33203125" style="3" customWidth="1"/>
    <col min="4097" max="4097" width="15.5546875" style="3" customWidth="1"/>
    <col min="4098" max="4098" width="0" style="3" hidden="1"/>
    <col min="4099" max="4099" width="16.6640625" style="3" customWidth="1"/>
    <col min="4100" max="4100" width="17.44140625" style="3" customWidth="1"/>
    <col min="4101" max="4102" width="0" style="3" hidden="1"/>
    <col min="4103" max="4105" width="15.33203125" style="3" customWidth="1"/>
    <col min="4106" max="4106" width="17" style="3" customWidth="1"/>
    <col min="4107" max="4107" width="0" style="3" hidden="1"/>
    <col min="4108" max="4109" width="15.5546875" style="3" customWidth="1"/>
    <col min="4110" max="4110" width="13.6640625" style="3" customWidth="1"/>
    <col min="4111" max="4111" width="9" style="3" customWidth="1"/>
    <col min="4112" max="4112" width="49.88671875" style="3" customWidth="1"/>
    <col min="4113" max="4113" width="0" style="3" hidden="1"/>
    <col min="4114" max="4115" width="15.88671875" style="3" customWidth="1"/>
    <col min="4116" max="4116" width="14.5546875" style="3" customWidth="1"/>
    <col min="4117" max="4117" width="16.33203125" style="3" customWidth="1"/>
    <col min="4118" max="4118" width="18.109375" style="3" customWidth="1"/>
    <col min="4119" max="4119" width="14.109375" style="3" customWidth="1"/>
    <col min="4120" max="4346" width="0" style="3" hidden="1"/>
    <col min="4347" max="4347" width="7.5546875" style="3" customWidth="1"/>
    <col min="4348" max="4348" width="36.77734375" style="3" customWidth="1"/>
    <col min="4349" max="4350" width="0" style="3" hidden="1"/>
    <col min="4351" max="4351" width="16.6640625" style="3" customWidth="1"/>
    <col min="4352" max="4352" width="17.33203125" style="3" customWidth="1"/>
    <col min="4353" max="4353" width="15.5546875" style="3" customWidth="1"/>
    <col min="4354" max="4354" width="0" style="3" hidden="1"/>
    <col min="4355" max="4355" width="16.6640625" style="3" customWidth="1"/>
    <col min="4356" max="4356" width="17.44140625" style="3" customWidth="1"/>
    <col min="4357" max="4358" width="0" style="3" hidden="1"/>
    <col min="4359" max="4361" width="15.33203125" style="3" customWidth="1"/>
    <col min="4362" max="4362" width="17" style="3" customWidth="1"/>
    <col min="4363" max="4363" width="0" style="3" hidden="1"/>
    <col min="4364" max="4365" width="15.5546875" style="3" customWidth="1"/>
    <col min="4366" max="4366" width="13.6640625" style="3" customWidth="1"/>
    <col min="4367" max="4367" width="9" style="3" customWidth="1"/>
    <col min="4368" max="4368" width="49.88671875" style="3" customWidth="1"/>
    <col min="4369" max="4369" width="0" style="3" hidden="1"/>
    <col min="4370" max="4371" width="15.88671875" style="3" customWidth="1"/>
    <col min="4372" max="4372" width="14.5546875" style="3" customWidth="1"/>
    <col min="4373" max="4373" width="16.33203125" style="3" customWidth="1"/>
    <col min="4374" max="4374" width="18.109375" style="3" customWidth="1"/>
    <col min="4375" max="4375" width="14.109375" style="3" customWidth="1"/>
    <col min="4376" max="4602" width="0" style="3" hidden="1"/>
    <col min="4603" max="4603" width="7.5546875" style="3" customWidth="1"/>
    <col min="4604" max="4604" width="36.77734375" style="3" customWidth="1"/>
    <col min="4605" max="4606" width="0" style="3" hidden="1"/>
    <col min="4607" max="4607" width="16.6640625" style="3" customWidth="1"/>
    <col min="4608" max="4608" width="17.33203125" style="3" customWidth="1"/>
    <col min="4609" max="4609" width="15.5546875" style="3" customWidth="1"/>
    <col min="4610" max="4610" width="0" style="3" hidden="1"/>
    <col min="4611" max="4611" width="16.6640625" style="3" customWidth="1"/>
    <col min="4612" max="4612" width="17.44140625" style="3" customWidth="1"/>
    <col min="4613" max="4614" width="0" style="3" hidden="1"/>
    <col min="4615" max="4617" width="15.33203125" style="3" customWidth="1"/>
    <col min="4618" max="4618" width="17" style="3" customWidth="1"/>
    <col min="4619" max="4619" width="0" style="3" hidden="1"/>
    <col min="4620" max="4621" width="15.5546875" style="3" customWidth="1"/>
    <col min="4622" max="4622" width="13.6640625" style="3" customWidth="1"/>
    <col min="4623" max="4623" width="9" style="3" customWidth="1"/>
    <col min="4624" max="4624" width="49.88671875" style="3" customWidth="1"/>
    <col min="4625" max="4625" width="0" style="3" hidden="1"/>
    <col min="4626" max="4627" width="15.88671875" style="3" customWidth="1"/>
    <col min="4628" max="4628" width="14.5546875" style="3" customWidth="1"/>
    <col min="4629" max="4629" width="16.33203125" style="3" customWidth="1"/>
    <col min="4630" max="4630" width="18.109375" style="3" customWidth="1"/>
    <col min="4631" max="4631" width="14.109375" style="3" customWidth="1"/>
    <col min="4632" max="4858" width="0" style="3" hidden="1"/>
    <col min="4859" max="4859" width="7.5546875" style="3" customWidth="1"/>
    <col min="4860" max="4860" width="36.77734375" style="3" customWidth="1"/>
    <col min="4861" max="4862" width="0" style="3" hidden="1"/>
    <col min="4863" max="4863" width="16.6640625" style="3" customWidth="1"/>
    <col min="4864" max="4864" width="17.33203125" style="3" customWidth="1"/>
    <col min="4865" max="4865" width="15.5546875" style="3" customWidth="1"/>
    <col min="4866" max="4866" width="0" style="3" hidden="1"/>
    <col min="4867" max="4867" width="16.6640625" style="3" customWidth="1"/>
    <col min="4868" max="4868" width="17.44140625" style="3" customWidth="1"/>
    <col min="4869" max="4870" width="0" style="3" hidden="1"/>
    <col min="4871" max="4873" width="15.33203125" style="3" customWidth="1"/>
    <col min="4874" max="4874" width="17" style="3" customWidth="1"/>
    <col min="4875" max="4875" width="0" style="3" hidden="1"/>
    <col min="4876" max="4877" width="15.5546875" style="3" customWidth="1"/>
    <col min="4878" max="4878" width="13.6640625" style="3" customWidth="1"/>
    <col min="4879" max="4879" width="9" style="3" customWidth="1"/>
    <col min="4880" max="4880" width="49.88671875" style="3" customWidth="1"/>
    <col min="4881" max="4881" width="0" style="3" hidden="1"/>
    <col min="4882" max="4883" width="15.88671875" style="3" customWidth="1"/>
    <col min="4884" max="4884" width="14.5546875" style="3" customWidth="1"/>
    <col min="4885" max="4885" width="16.33203125" style="3" customWidth="1"/>
    <col min="4886" max="4886" width="18.109375" style="3" customWidth="1"/>
    <col min="4887" max="4887" width="14.109375" style="3" customWidth="1"/>
    <col min="4888" max="5114" width="0" style="3" hidden="1"/>
    <col min="5115" max="5115" width="7.5546875" style="3" customWidth="1"/>
    <col min="5116" max="5116" width="36.77734375" style="3" customWidth="1"/>
    <col min="5117" max="5118" width="0" style="3" hidden="1"/>
    <col min="5119" max="5119" width="16.6640625" style="3" customWidth="1"/>
    <col min="5120" max="5120" width="17.33203125" style="3" customWidth="1"/>
    <col min="5121" max="5121" width="15.5546875" style="3" customWidth="1"/>
    <col min="5122" max="5122" width="0" style="3" hidden="1"/>
    <col min="5123" max="5123" width="16.6640625" style="3" customWidth="1"/>
    <col min="5124" max="5124" width="17.44140625" style="3" customWidth="1"/>
    <col min="5125" max="5126" width="0" style="3" hidden="1"/>
    <col min="5127" max="5129" width="15.33203125" style="3" customWidth="1"/>
    <col min="5130" max="5130" width="17" style="3" customWidth="1"/>
    <col min="5131" max="5131" width="0" style="3" hidden="1"/>
    <col min="5132" max="5133" width="15.5546875" style="3" customWidth="1"/>
    <col min="5134" max="5134" width="13.6640625" style="3" customWidth="1"/>
    <col min="5135" max="5135" width="9" style="3" customWidth="1"/>
    <col min="5136" max="5136" width="49.88671875" style="3" customWidth="1"/>
    <col min="5137" max="5137" width="0" style="3" hidden="1"/>
    <col min="5138" max="5139" width="15.88671875" style="3" customWidth="1"/>
    <col min="5140" max="5140" width="14.5546875" style="3" customWidth="1"/>
    <col min="5141" max="5141" width="16.33203125" style="3" customWidth="1"/>
    <col min="5142" max="5142" width="18.109375" style="3" customWidth="1"/>
    <col min="5143" max="5143" width="14.109375" style="3" customWidth="1"/>
    <col min="5144" max="5370" width="0" style="3" hidden="1"/>
    <col min="5371" max="5371" width="7.5546875" style="3" customWidth="1"/>
    <col min="5372" max="5372" width="36.77734375" style="3" customWidth="1"/>
    <col min="5373" max="5374" width="0" style="3" hidden="1"/>
    <col min="5375" max="5375" width="16.6640625" style="3" customWidth="1"/>
    <col min="5376" max="5376" width="17.33203125" style="3" customWidth="1"/>
    <col min="5377" max="5377" width="15.5546875" style="3" customWidth="1"/>
    <col min="5378" max="5378" width="0" style="3" hidden="1"/>
    <col min="5379" max="5379" width="16.6640625" style="3" customWidth="1"/>
    <col min="5380" max="5380" width="17.44140625" style="3" customWidth="1"/>
    <col min="5381" max="5382" width="0" style="3" hidden="1"/>
    <col min="5383" max="5385" width="15.33203125" style="3" customWidth="1"/>
    <col min="5386" max="5386" width="17" style="3" customWidth="1"/>
    <col min="5387" max="5387" width="0" style="3" hidden="1"/>
    <col min="5388" max="5389" width="15.5546875" style="3" customWidth="1"/>
    <col min="5390" max="5390" width="13.6640625" style="3" customWidth="1"/>
    <col min="5391" max="5391" width="9" style="3" customWidth="1"/>
    <col min="5392" max="5392" width="49.88671875" style="3" customWidth="1"/>
    <col min="5393" max="5393" width="0" style="3" hidden="1"/>
    <col min="5394" max="5395" width="15.88671875" style="3" customWidth="1"/>
    <col min="5396" max="5396" width="14.5546875" style="3" customWidth="1"/>
    <col min="5397" max="5397" width="16.33203125" style="3" customWidth="1"/>
    <col min="5398" max="5398" width="18.109375" style="3" customWidth="1"/>
    <col min="5399" max="5399" width="14.109375" style="3" customWidth="1"/>
    <col min="5400" max="5626" width="0" style="3" hidden="1"/>
    <col min="5627" max="5627" width="7.5546875" style="3" customWidth="1"/>
    <col min="5628" max="5628" width="36.77734375" style="3" customWidth="1"/>
    <col min="5629" max="5630" width="0" style="3" hidden="1"/>
    <col min="5631" max="5631" width="16.6640625" style="3" customWidth="1"/>
    <col min="5632" max="5632" width="17.33203125" style="3" customWidth="1"/>
    <col min="5633" max="5633" width="15.5546875" style="3" customWidth="1"/>
    <col min="5634" max="5634" width="0" style="3" hidden="1"/>
    <col min="5635" max="5635" width="16.6640625" style="3" customWidth="1"/>
    <col min="5636" max="5636" width="17.44140625" style="3" customWidth="1"/>
    <col min="5637" max="5638" width="0" style="3" hidden="1"/>
    <col min="5639" max="5641" width="15.33203125" style="3" customWidth="1"/>
    <col min="5642" max="5642" width="17" style="3" customWidth="1"/>
    <col min="5643" max="5643" width="0" style="3" hidden="1"/>
    <col min="5644" max="5645" width="15.5546875" style="3" customWidth="1"/>
    <col min="5646" max="5646" width="13.6640625" style="3" customWidth="1"/>
    <col min="5647" max="5647" width="9" style="3" customWidth="1"/>
    <col min="5648" max="5648" width="49.88671875" style="3" customWidth="1"/>
    <col min="5649" max="5649" width="0" style="3" hidden="1"/>
    <col min="5650" max="5651" width="15.88671875" style="3" customWidth="1"/>
    <col min="5652" max="5652" width="14.5546875" style="3" customWidth="1"/>
    <col min="5653" max="5653" width="16.33203125" style="3" customWidth="1"/>
    <col min="5654" max="5654" width="18.109375" style="3" customWidth="1"/>
    <col min="5655" max="5655" width="14.109375" style="3" customWidth="1"/>
    <col min="5656" max="5882" width="0" style="3" hidden="1"/>
    <col min="5883" max="5883" width="7.5546875" style="3" customWidth="1"/>
    <col min="5884" max="5884" width="36.77734375" style="3" customWidth="1"/>
    <col min="5885" max="5886" width="0" style="3" hidden="1"/>
    <col min="5887" max="5887" width="16.6640625" style="3" customWidth="1"/>
    <col min="5888" max="5888" width="17.33203125" style="3" customWidth="1"/>
    <col min="5889" max="5889" width="15.5546875" style="3" customWidth="1"/>
    <col min="5890" max="5890" width="0" style="3" hidden="1"/>
    <col min="5891" max="5891" width="16.6640625" style="3" customWidth="1"/>
    <col min="5892" max="5892" width="17.44140625" style="3" customWidth="1"/>
    <col min="5893" max="5894" width="0" style="3" hidden="1"/>
    <col min="5895" max="5897" width="15.33203125" style="3" customWidth="1"/>
    <col min="5898" max="5898" width="17" style="3" customWidth="1"/>
    <col min="5899" max="5899" width="0" style="3" hidden="1"/>
    <col min="5900" max="5901" width="15.5546875" style="3" customWidth="1"/>
    <col min="5902" max="5902" width="13.6640625" style="3" customWidth="1"/>
    <col min="5903" max="5903" width="9" style="3" customWidth="1"/>
    <col min="5904" max="5904" width="49.88671875" style="3" customWidth="1"/>
    <col min="5905" max="5905" width="0" style="3" hidden="1"/>
    <col min="5906" max="5907" width="15.88671875" style="3" customWidth="1"/>
    <col min="5908" max="5908" width="14.5546875" style="3" customWidth="1"/>
    <col min="5909" max="5909" width="16.33203125" style="3" customWidth="1"/>
    <col min="5910" max="5910" width="18.109375" style="3" customWidth="1"/>
    <col min="5911" max="5911" width="14.109375" style="3" customWidth="1"/>
    <col min="5912" max="6138" width="0" style="3" hidden="1"/>
    <col min="6139" max="6139" width="7.5546875" style="3" customWidth="1"/>
    <col min="6140" max="6140" width="36.77734375" style="3" customWidth="1"/>
    <col min="6141" max="6142" width="0" style="3" hidden="1"/>
    <col min="6143" max="6143" width="16.6640625" style="3" customWidth="1"/>
    <col min="6144" max="6144" width="17.33203125" style="3" customWidth="1"/>
    <col min="6145" max="6145" width="15.5546875" style="3" customWidth="1"/>
    <col min="6146" max="6146" width="0" style="3" hidden="1"/>
    <col min="6147" max="6147" width="16.6640625" style="3" customWidth="1"/>
    <col min="6148" max="6148" width="17.44140625" style="3" customWidth="1"/>
    <col min="6149" max="6150" width="0" style="3" hidden="1"/>
    <col min="6151" max="6153" width="15.33203125" style="3" customWidth="1"/>
    <col min="6154" max="6154" width="17" style="3" customWidth="1"/>
    <col min="6155" max="6155" width="0" style="3" hidden="1"/>
    <col min="6156" max="6157" width="15.5546875" style="3" customWidth="1"/>
    <col min="6158" max="6158" width="13.6640625" style="3" customWidth="1"/>
    <col min="6159" max="6159" width="9" style="3" customWidth="1"/>
    <col min="6160" max="6160" width="49.88671875" style="3" customWidth="1"/>
    <col min="6161" max="6161" width="0" style="3" hidden="1"/>
    <col min="6162" max="6163" width="15.88671875" style="3" customWidth="1"/>
    <col min="6164" max="6164" width="14.5546875" style="3" customWidth="1"/>
    <col min="6165" max="6165" width="16.33203125" style="3" customWidth="1"/>
    <col min="6166" max="6166" width="18.109375" style="3" customWidth="1"/>
    <col min="6167" max="6167" width="14.109375" style="3" customWidth="1"/>
    <col min="6168" max="6394" width="0" style="3" hidden="1"/>
    <col min="6395" max="6395" width="7.5546875" style="3" customWidth="1"/>
    <col min="6396" max="6396" width="36.77734375" style="3" customWidth="1"/>
    <col min="6397" max="6398" width="0" style="3" hidden="1"/>
    <col min="6399" max="6399" width="16.6640625" style="3" customWidth="1"/>
    <col min="6400" max="6400" width="17.33203125" style="3" customWidth="1"/>
    <col min="6401" max="6401" width="15.5546875" style="3" customWidth="1"/>
    <col min="6402" max="6402" width="0" style="3" hidden="1"/>
    <col min="6403" max="6403" width="16.6640625" style="3" customWidth="1"/>
    <col min="6404" max="6404" width="17.44140625" style="3" customWidth="1"/>
    <col min="6405" max="6406" width="0" style="3" hidden="1"/>
    <col min="6407" max="6409" width="15.33203125" style="3" customWidth="1"/>
    <col min="6410" max="6410" width="17" style="3" customWidth="1"/>
    <col min="6411" max="6411" width="0" style="3" hidden="1"/>
    <col min="6412" max="6413" width="15.5546875" style="3" customWidth="1"/>
    <col min="6414" max="6414" width="13.6640625" style="3" customWidth="1"/>
    <col min="6415" max="6415" width="9" style="3" customWidth="1"/>
    <col min="6416" max="6416" width="49.88671875" style="3" customWidth="1"/>
    <col min="6417" max="6417" width="0" style="3" hidden="1"/>
    <col min="6418" max="6419" width="15.88671875" style="3" customWidth="1"/>
    <col min="6420" max="6420" width="14.5546875" style="3" customWidth="1"/>
    <col min="6421" max="6421" width="16.33203125" style="3" customWidth="1"/>
    <col min="6422" max="6422" width="18.109375" style="3" customWidth="1"/>
    <col min="6423" max="6423" width="14.109375" style="3" customWidth="1"/>
    <col min="6424" max="6650" width="0" style="3" hidden="1"/>
    <col min="6651" max="6651" width="7.5546875" style="3" customWidth="1"/>
    <col min="6652" max="6652" width="36.77734375" style="3" customWidth="1"/>
    <col min="6653" max="6654" width="0" style="3" hidden="1"/>
    <col min="6655" max="6655" width="16.6640625" style="3" customWidth="1"/>
    <col min="6656" max="6656" width="17.33203125" style="3" customWidth="1"/>
    <col min="6657" max="6657" width="15.5546875" style="3" customWidth="1"/>
    <col min="6658" max="6658" width="0" style="3" hidden="1"/>
    <col min="6659" max="6659" width="16.6640625" style="3" customWidth="1"/>
    <col min="6660" max="6660" width="17.44140625" style="3" customWidth="1"/>
    <col min="6661" max="6662" width="0" style="3" hidden="1"/>
    <col min="6663" max="6665" width="15.33203125" style="3" customWidth="1"/>
    <col min="6666" max="6666" width="17" style="3" customWidth="1"/>
    <col min="6667" max="6667" width="0" style="3" hidden="1"/>
    <col min="6668" max="6669" width="15.5546875" style="3" customWidth="1"/>
    <col min="6670" max="6670" width="13.6640625" style="3" customWidth="1"/>
    <col min="6671" max="6671" width="9" style="3" customWidth="1"/>
    <col min="6672" max="6672" width="49.88671875" style="3" customWidth="1"/>
    <col min="6673" max="6673" width="0" style="3" hidden="1"/>
    <col min="6674" max="6675" width="15.88671875" style="3" customWidth="1"/>
    <col min="6676" max="6676" width="14.5546875" style="3" customWidth="1"/>
    <col min="6677" max="6677" width="16.33203125" style="3" customWidth="1"/>
    <col min="6678" max="6678" width="18.109375" style="3" customWidth="1"/>
    <col min="6679" max="6679" width="14.109375" style="3" customWidth="1"/>
    <col min="6680" max="6906" width="0" style="3" hidden="1"/>
    <col min="6907" max="6907" width="7.5546875" style="3" customWidth="1"/>
    <col min="6908" max="6908" width="36.77734375" style="3" customWidth="1"/>
    <col min="6909" max="6910" width="0" style="3" hidden="1"/>
    <col min="6911" max="6911" width="16.6640625" style="3" customWidth="1"/>
    <col min="6912" max="6912" width="17.33203125" style="3" customWidth="1"/>
    <col min="6913" max="6913" width="15.5546875" style="3" customWidth="1"/>
    <col min="6914" max="6914" width="0" style="3" hidden="1"/>
    <col min="6915" max="6915" width="16.6640625" style="3" customWidth="1"/>
    <col min="6916" max="6916" width="17.44140625" style="3" customWidth="1"/>
    <col min="6917" max="6918" width="0" style="3" hidden="1"/>
    <col min="6919" max="6921" width="15.33203125" style="3" customWidth="1"/>
    <col min="6922" max="6922" width="17" style="3" customWidth="1"/>
    <col min="6923" max="6923" width="0" style="3" hidden="1"/>
    <col min="6924" max="6925" width="15.5546875" style="3" customWidth="1"/>
    <col min="6926" max="6926" width="13.6640625" style="3" customWidth="1"/>
    <col min="6927" max="6927" width="9" style="3" customWidth="1"/>
    <col min="6928" max="6928" width="49.88671875" style="3" customWidth="1"/>
    <col min="6929" max="6929" width="0" style="3" hidden="1"/>
    <col min="6930" max="6931" width="15.88671875" style="3" customWidth="1"/>
    <col min="6932" max="6932" width="14.5546875" style="3" customWidth="1"/>
    <col min="6933" max="6933" width="16.33203125" style="3" customWidth="1"/>
    <col min="6934" max="6934" width="18.109375" style="3" customWidth="1"/>
    <col min="6935" max="6935" width="14.109375" style="3" customWidth="1"/>
    <col min="6936" max="7162" width="0" style="3" hidden="1"/>
    <col min="7163" max="7163" width="7.5546875" style="3" customWidth="1"/>
    <col min="7164" max="7164" width="36.77734375" style="3" customWidth="1"/>
    <col min="7165" max="7166" width="0" style="3" hidden="1"/>
    <col min="7167" max="7167" width="16.6640625" style="3" customWidth="1"/>
    <col min="7168" max="7168" width="17.33203125" style="3" customWidth="1"/>
    <col min="7169" max="7169" width="15.5546875" style="3" customWidth="1"/>
    <col min="7170" max="7170" width="0" style="3" hidden="1"/>
    <col min="7171" max="7171" width="16.6640625" style="3" customWidth="1"/>
    <col min="7172" max="7172" width="17.44140625" style="3" customWidth="1"/>
    <col min="7173" max="7174" width="0" style="3" hidden="1"/>
    <col min="7175" max="7177" width="15.33203125" style="3" customWidth="1"/>
    <col min="7178" max="7178" width="17" style="3" customWidth="1"/>
    <col min="7179" max="7179" width="0" style="3" hidden="1"/>
    <col min="7180" max="7181" width="15.5546875" style="3" customWidth="1"/>
    <col min="7182" max="7182" width="13.6640625" style="3" customWidth="1"/>
    <col min="7183" max="7183" width="9" style="3" customWidth="1"/>
    <col min="7184" max="7184" width="49.88671875" style="3" customWidth="1"/>
    <col min="7185" max="7185" width="0" style="3" hidden="1"/>
    <col min="7186" max="7187" width="15.88671875" style="3" customWidth="1"/>
    <col min="7188" max="7188" width="14.5546875" style="3" customWidth="1"/>
    <col min="7189" max="7189" width="16.33203125" style="3" customWidth="1"/>
    <col min="7190" max="7190" width="18.109375" style="3" customWidth="1"/>
    <col min="7191" max="7191" width="14.109375" style="3" customWidth="1"/>
    <col min="7192" max="7418" width="0" style="3" hidden="1"/>
    <col min="7419" max="7419" width="7.5546875" style="3" customWidth="1"/>
    <col min="7420" max="7420" width="36.77734375" style="3" customWidth="1"/>
    <col min="7421" max="7422" width="0" style="3" hidden="1"/>
    <col min="7423" max="7423" width="16.6640625" style="3" customWidth="1"/>
    <col min="7424" max="7424" width="17.33203125" style="3" customWidth="1"/>
    <col min="7425" max="7425" width="15.5546875" style="3" customWidth="1"/>
    <col min="7426" max="7426" width="0" style="3" hidden="1"/>
    <col min="7427" max="7427" width="16.6640625" style="3" customWidth="1"/>
    <col min="7428" max="7428" width="17.44140625" style="3" customWidth="1"/>
    <col min="7429" max="7430" width="0" style="3" hidden="1"/>
    <col min="7431" max="7433" width="15.33203125" style="3" customWidth="1"/>
    <col min="7434" max="7434" width="17" style="3" customWidth="1"/>
    <col min="7435" max="7435" width="0" style="3" hidden="1"/>
    <col min="7436" max="7437" width="15.5546875" style="3" customWidth="1"/>
    <col min="7438" max="7438" width="13.6640625" style="3" customWidth="1"/>
    <col min="7439" max="7439" width="9" style="3" customWidth="1"/>
    <col min="7440" max="7440" width="49.88671875" style="3" customWidth="1"/>
    <col min="7441" max="7441" width="0" style="3" hidden="1"/>
    <col min="7442" max="7443" width="15.88671875" style="3" customWidth="1"/>
    <col min="7444" max="7444" width="14.5546875" style="3" customWidth="1"/>
    <col min="7445" max="7445" width="16.33203125" style="3" customWidth="1"/>
    <col min="7446" max="7446" width="18.109375" style="3" customWidth="1"/>
    <col min="7447" max="7447" width="14.109375" style="3" customWidth="1"/>
    <col min="7448" max="7674" width="0" style="3" hidden="1"/>
    <col min="7675" max="7675" width="7.5546875" style="3" customWidth="1"/>
    <col min="7676" max="7676" width="36.77734375" style="3" customWidth="1"/>
    <col min="7677" max="7678" width="0" style="3" hidden="1"/>
    <col min="7679" max="7679" width="16.6640625" style="3" customWidth="1"/>
    <col min="7680" max="7680" width="17.33203125" style="3" customWidth="1"/>
    <col min="7681" max="7681" width="15.5546875" style="3" customWidth="1"/>
    <col min="7682" max="7682" width="0" style="3" hidden="1"/>
    <col min="7683" max="7683" width="16.6640625" style="3" customWidth="1"/>
    <col min="7684" max="7684" width="17.44140625" style="3" customWidth="1"/>
    <col min="7685" max="7686" width="0" style="3" hidden="1"/>
    <col min="7687" max="7689" width="15.33203125" style="3" customWidth="1"/>
    <col min="7690" max="7690" width="17" style="3" customWidth="1"/>
    <col min="7691" max="7691" width="0" style="3" hidden="1"/>
    <col min="7692" max="7693" width="15.5546875" style="3" customWidth="1"/>
    <col min="7694" max="7694" width="13.6640625" style="3" customWidth="1"/>
    <col min="7695" max="7695" width="9" style="3" customWidth="1"/>
    <col min="7696" max="7696" width="49.88671875" style="3" customWidth="1"/>
    <col min="7697" max="7697" width="0" style="3" hidden="1"/>
    <col min="7698" max="7699" width="15.88671875" style="3" customWidth="1"/>
    <col min="7700" max="7700" width="14.5546875" style="3" customWidth="1"/>
    <col min="7701" max="7701" width="16.33203125" style="3" customWidth="1"/>
    <col min="7702" max="7702" width="18.109375" style="3" customWidth="1"/>
    <col min="7703" max="7703" width="14.109375" style="3" customWidth="1"/>
    <col min="7704" max="7930" width="0" style="3" hidden="1"/>
    <col min="7931" max="7931" width="7.5546875" style="3" customWidth="1"/>
    <col min="7932" max="7932" width="36.77734375" style="3" customWidth="1"/>
    <col min="7933" max="7934" width="0" style="3" hidden="1"/>
    <col min="7935" max="7935" width="16.6640625" style="3" customWidth="1"/>
    <col min="7936" max="7936" width="17.33203125" style="3" customWidth="1"/>
    <col min="7937" max="7937" width="15.5546875" style="3" customWidth="1"/>
    <col min="7938" max="7938" width="0" style="3" hidden="1"/>
    <col min="7939" max="7939" width="16.6640625" style="3" customWidth="1"/>
    <col min="7940" max="7940" width="17.44140625" style="3" customWidth="1"/>
    <col min="7941" max="7942" width="0" style="3" hidden="1"/>
    <col min="7943" max="7945" width="15.33203125" style="3" customWidth="1"/>
    <col min="7946" max="7946" width="17" style="3" customWidth="1"/>
    <col min="7947" max="7947" width="0" style="3" hidden="1"/>
    <col min="7948" max="7949" width="15.5546875" style="3" customWidth="1"/>
    <col min="7950" max="7950" width="13.6640625" style="3" customWidth="1"/>
    <col min="7951" max="7951" width="9" style="3" customWidth="1"/>
    <col min="7952" max="7952" width="49.88671875" style="3" customWidth="1"/>
    <col min="7953" max="7953" width="0" style="3" hidden="1"/>
    <col min="7954" max="7955" width="15.88671875" style="3" customWidth="1"/>
    <col min="7956" max="7956" width="14.5546875" style="3" customWidth="1"/>
    <col min="7957" max="7957" width="16.33203125" style="3" customWidth="1"/>
    <col min="7958" max="7958" width="18.109375" style="3" customWidth="1"/>
    <col min="7959" max="7959" width="14.109375" style="3" customWidth="1"/>
    <col min="7960" max="8186" width="0" style="3" hidden="1"/>
    <col min="8187" max="8187" width="7.5546875" style="3" customWidth="1"/>
    <col min="8188" max="8188" width="36.77734375" style="3" customWidth="1"/>
    <col min="8189" max="8190" width="0" style="3" hidden="1"/>
    <col min="8191" max="8191" width="16.6640625" style="3" customWidth="1"/>
    <col min="8192" max="8192" width="17.33203125" style="3" customWidth="1"/>
    <col min="8193" max="8193" width="15.5546875" style="3" customWidth="1"/>
    <col min="8194" max="8194" width="0" style="3" hidden="1"/>
    <col min="8195" max="8195" width="16.6640625" style="3" customWidth="1"/>
    <col min="8196" max="8196" width="17.44140625" style="3" customWidth="1"/>
    <col min="8197" max="8198" width="0" style="3" hidden="1"/>
    <col min="8199" max="8201" width="15.33203125" style="3" customWidth="1"/>
    <col min="8202" max="8202" width="17" style="3" customWidth="1"/>
    <col min="8203" max="8203" width="0" style="3" hidden="1"/>
    <col min="8204" max="8205" width="15.5546875" style="3" customWidth="1"/>
    <col min="8206" max="8206" width="13.6640625" style="3" customWidth="1"/>
    <col min="8207" max="8207" width="9" style="3" customWidth="1"/>
    <col min="8208" max="8208" width="49.88671875" style="3" customWidth="1"/>
    <col min="8209" max="8209" width="0" style="3" hidden="1"/>
    <col min="8210" max="8211" width="15.88671875" style="3" customWidth="1"/>
    <col min="8212" max="8212" width="14.5546875" style="3" customWidth="1"/>
    <col min="8213" max="8213" width="16.33203125" style="3" customWidth="1"/>
    <col min="8214" max="8214" width="18.109375" style="3" customWidth="1"/>
    <col min="8215" max="8215" width="14.109375" style="3" customWidth="1"/>
    <col min="8216" max="8442" width="0" style="3" hidden="1"/>
    <col min="8443" max="8443" width="7.5546875" style="3" customWidth="1"/>
    <col min="8444" max="8444" width="36.77734375" style="3" customWidth="1"/>
    <col min="8445" max="8446" width="0" style="3" hidden="1"/>
    <col min="8447" max="8447" width="16.6640625" style="3" customWidth="1"/>
    <col min="8448" max="8448" width="17.33203125" style="3" customWidth="1"/>
    <col min="8449" max="8449" width="15.5546875" style="3" customWidth="1"/>
    <col min="8450" max="8450" width="0" style="3" hidden="1"/>
    <col min="8451" max="8451" width="16.6640625" style="3" customWidth="1"/>
    <col min="8452" max="8452" width="17.44140625" style="3" customWidth="1"/>
    <col min="8453" max="8454" width="0" style="3" hidden="1"/>
    <col min="8455" max="8457" width="15.33203125" style="3" customWidth="1"/>
    <col min="8458" max="8458" width="17" style="3" customWidth="1"/>
    <col min="8459" max="8459" width="0" style="3" hidden="1"/>
    <col min="8460" max="8461" width="15.5546875" style="3" customWidth="1"/>
    <col min="8462" max="8462" width="13.6640625" style="3" customWidth="1"/>
    <col min="8463" max="8463" width="9" style="3" customWidth="1"/>
    <col min="8464" max="8464" width="49.88671875" style="3" customWidth="1"/>
    <col min="8465" max="8465" width="0" style="3" hidden="1"/>
    <col min="8466" max="8467" width="15.88671875" style="3" customWidth="1"/>
    <col min="8468" max="8468" width="14.5546875" style="3" customWidth="1"/>
    <col min="8469" max="8469" width="16.33203125" style="3" customWidth="1"/>
    <col min="8470" max="8470" width="18.109375" style="3" customWidth="1"/>
    <col min="8471" max="8471" width="14.109375" style="3" customWidth="1"/>
    <col min="8472" max="8698" width="0" style="3" hidden="1"/>
    <col min="8699" max="8699" width="7.5546875" style="3" customWidth="1"/>
    <col min="8700" max="8700" width="36.77734375" style="3" customWidth="1"/>
    <col min="8701" max="8702" width="0" style="3" hidden="1"/>
    <col min="8703" max="8703" width="16.6640625" style="3" customWidth="1"/>
    <col min="8704" max="8704" width="17.33203125" style="3" customWidth="1"/>
    <col min="8705" max="8705" width="15.5546875" style="3" customWidth="1"/>
    <col min="8706" max="8706" width="0" style="3" hidden="1"/>
    <col min="8707" max="8707" width="16.6640625" style="3" customWidth="1"/>
    <col min="8708" max="8708" width="17.44140625" style="3" customWidth="1"/>
    <col min="8709" max="8710" width="0" style="3" hidden="1"/>
    <col min="8711" max="8713" width="15.33203125" style="3" customWidth="1"/>
    <col min="8714" max="8714" width="17" style="3" customWidth="1"/>
    <col min="8715" max="8715" width="0" style="3" hidden="1"/>
    <col min="8716" max="8717" width="15.5546875" style="3" customWidth="1"/>
    <col min="8718" max="8718" width="13.6640625" style="3" customWidth="1"/>
    <col min="8719" max="8719" width="9" style="3" customWidth="1"/>
    <col min="8720" max="8720" width="49.88671875" style="3" customWidth="1"/>
    <col min="8721" max="8721" width="0" style="3" hidden="1"/>
    <col min="8722" max="8723" width="15.88671875" style="3" customWidth="1"/>
    <col min="8724" max="8724" width="14.5546875" style="3" customWidth="1"/>
    <col min="8725" max="8725" width="16.33203125" style="3" customWidth="1"/>
    <col min="8726" max="8726" width="18.109375" style="3" customWidth="1"/>
    <col min="8727" max="8727" width="14.109375" style="3" customWidth="1"/>
    <col min="8728" max="8954" width="0" style="3" hidden="1"/>
    <col min="8955" max="8955" width="7.5546875" style="3" customWidth="1"/>
    <col min="8956" max="8956" width="36.77734375" style="3" customWidth="1"/>
    <col min="8957" max="8958" width="0" style="3" hidden="1"/>
    <col min="8959" max="8959" width="16.6640625" style="3" customWidth="1"/>
    <col min="8960" max="8960" width="17.33203125" style="3" customWidth="1"/>
    <col min="8961" max="8961" width="15.5546875" style="3" customWidth="1"/>
    <col min="8962" max="8962" width="0" style="3" hidden="1"/>
    <col min="8963" max="8963" width="16.6640625" style="3" customWidth="1"/>
    <col min="8964" max="8964" width="17.44140625" style="3" customWidth="1"/>
    <col min="8965" max="8966" width="0" style="3" hidden="1"/>
    <col min="8967" max="8969" width="15.33203125" style="3" customWidth="1"/>
    <col min="8970" max="8970" width="17" style="3" customWidth="1"/>
    <col min="8971" max="8971" width="0" style="3" hidden="1"/>
    <col min="8972" max="8973" width="15.5546875" style="3" customWidth="1"/>
    <col min="8974" max="8974" width="13.6640625" style="3" customWidth="1"/>
    <col min="8975" max="8975" width="9" style="3" customWidth="1"/>
    <col min="8976" max="8976" width="49.88671875" style="3" customWidth="1"/>
    <col min="8977" max="8977" width="0" style="3" hidden="1"/>
    <col min="8978" max="8979" width="15.88671875" style="3" customWidth="1"/>
    <col min="8980" max="8980" width="14.5546875" style="3" customWidth="1"/>
    <col min="8981" max="8981" width="16.33203125" style="3" customWidth="1"/>
    <col min="8982" max="8982" width="18.109375" style="3" customWidth="1"/>
    <col min="8983" max="8983" width="14.109375" style="3" customWidth="1"/>
    <col min="8984" max="9210" width="0" style="3" hidden="1"/>
    <col min="9211" max="9211" width="7.5546875" style="3" customWidth="1"/>
    <col min="9212" max="9212" width="36.77734375" style="3" customWidth="1"/>
    <col min="9213" max="9214" width="0" style="3" hidden="1"/>
    <col min="9215" max="9215" width="16.6640625" style="3" customWidth="1"/>
    <col min="9216" max="9216" width="17.33203125" style="3" customWidth="1"/>
    <col min="9217" max="9217" width="15.5546875" style="3" customWidth="1"/>
    <col min="9218" max="9218" width="0" style="3" hidden="1"/>
    <col min="9219" max="9219" width="16.6640625" style="3" customWidth="1"/>
    <col min="9220" max="9220" width="17.44140625" style="3" customWidth="1"/>
    <col min="9221" max="9222" width="0" style="3" hidden="1"/>
    <col min="9223" max="9225" width="15.33203125" style="3" customWidth="1"/>
    <col min="9226" max="9226" width="17" style="3" customWidth="1"/>
    <col min="9227" max="9227" width="0" style="3" hidden="1"/>
    <col min="9228" max="9229" width="15.5546875" style="3" customWidth="1"/>
    <col min="9230" max="9230" width="13.6640625" style="3" customWidth="1"/>
    <col min="9231" max="9231" width="9" style="3" customWidth="1"/>
    <col min="9232" max="9232" width="49.88671875" style="3" customWidth="1"/>
    <col min="9233" max="9233" width="0" style="3" hidden="1"/>
    <col min="9234" max="9235" width="15.88671875" style="3" customWidth="1"/>
    <col min="9236" max="9236" width="14.5546875" style="3" customWidth="1"/>
    <col min="9237" max="9237" width="16.33203125" style="3" customWidth="1"/>
    <col min="9238" max="9238" width="18.109375" style="3" customWidth="1"/>
    <col min="9239" max="9239" width="14.109375" style="3" customWidth="1"/>
    <col min="9240" max="9466" width="0" style="3" hidden="1"/>
    <col min="9467" max="9467" width="7.5546875" style="3" customWidth="1"/>
    <col min="9468" max="9468" width="36.77734375" style="3" customWidth="1"/>
    <col min="9469" max="9470" width="0" style="3" hidden="1"/>
    <col min="9471" max="9471" width="16.6640625" style="3" customWidth="1"/>
    <col min="9472" max="9472" width="17.33203125" style="3" customWidth="1"/>
    <col min="9473" max="9473" width="15.5546875" style="3" customWidth="1"/>
    <col min="9474" max="9474" width="0" style="3" hidden="1"/>
    <col min="9475" max="9475" width="16.6640625" style="3" customWidth="1"/>
    <col min="9476" max="9476" width="17.44140625" style="3" customWidth="1"/>
    <col min="9477" max="9478" width="0" style="3" hidden="1"/>
    <col min="9479" max="9481" width="15.33203125" style="3" customWidth="1"/>
    <col min="9482" max="9482" width="17" style="3" customWidth="1"/>
    <col min="9483" max="9483" width="0" style="3" hidden="1"/>
    <col min="9484" max="9485" width="15.5546875" style="3" customWidth="1"/>
    <col min="9486" max="9486" width="13.6640625" style="3" customWidth="1"/>
    <col min="9487" max="9487" width="9" style="3" customWidth="1"/>
    <col min="9488" max="9488" width="49.88671875" style="3" customWidth="1"/>
    <col min="9489" max="9489" width="0" style="3" hidden="1"/>
    <col min="9490" max="9491" width="15.88671875" style="3" customWidth="1"/>
    <col min="9492" max="9492" width="14.5546875" style="3" customWidth="1"/>
    <col min="9493" max="9493" width="16.33203125" style="3" customWidth="1"/>
    <col min="9494" max="9494" width="18.109375" style="3" customWidth="1"/>
    <col min="9495" max="9495" width="14.109375" style="3" customWidth="1"/>
    <col min="9496" max="9722" width="0" style="3" hidden="1"/>
    <col min="9723" max="9723" width="7.5546875" style="3" customWidth="1"/>
    <col min="9724" max="9724" width="36.77734375" style="3" customWidth="1"/>
    <col min="9725" max="9726" width="0" style="3" hidden="1"/>
    <col min="9727" max="9727" width="16.6640625" style="3" customWidth="1"/>
    <col min="9728" max="9728" width="17.33203125" style="3" customWidth="1"/>
    <col min="9729" max="9729" width="15.5546875" style="3" customWidth="1"/>
    <col min="9730" max="9730" width="0" style="3" hidden="1"/>
    <col min="9731" max="9731" width="16.6640625" style="3" customWidth="1"/>
    <col min="9732" max="9732" width="17.44140625" style="3" customWidth="1"/>
    <col min="9733" max="9734" width="0" style="3" hidden="1"/>
    <col min="9735" max="9737" width="15.33203125" style="3" customWidth="1"/>
    <col min="9738" max="9738" width="17" style="3" customWidth="1"/>
    <col min="9739" max="9739" width="0" style="3" hidden="1"/>
    <col min="9740" max="9741" width="15.5546875" style="3" customWidth="1"/>
    <col min="9742" max="9742" width="13.6640625" style="3" customWidth="1"/>
    <col min="9743" max="9743" width="9" style="3" customWidth="1"/>
    <col min="9744" max="9744" width="49.88671875" style="3" customWidth="1"/>
    <col min="9745" max="9745" width="0" style="3" hidden="1"/>
    <col min="9746" max="9747" width="15.88671875" style="3" customWidth="1"/>
    <col min="9748" max="9748" width="14.5546875" style="3" customWidth="1"/>
    <col min="9749" max="9749" width="16.33203125" style="3" customWidth="1"/>
    <col min="9750" max="9750" width="18.109375" style="3" customWidth="1"/>
    <col min="9751" max="9751" width="14.109375" style="3" customWidth="1"/>
    <col min="9752" max="9978" width="0" style="3" hidden="1"/>
    <col min="9979" max="9979" width="7.5546875" style="3" customWidth="1"/>
    <col min="9980" max="9980" width="36.77734375" style="3" customWidth="1"/>
    <col min="9981" max="9982" width="0" style="3" hidden="1"/>
    <col min="9983" max="9983" width="16.6640625" style="3" customWidth="1"/>
    <col min="9984" max="9984" width="17.33203125" style="3" customWidth="1"/>
    <col min="9985" max="9985" width="15.5546875" style="3" customWidth="1"/>
    <col min="9986" max="9986" width="0" style="3" hidden="1"/>
    <col min="9987" max="9987" width="16.6640625" style="3" customWidth="1"/>
    <col min="9988" max="9988" width="17.44140625" style="3" customWidth="1"/>
    <col min="9989" max="9990" width="0" style="3" hidden="1"/>
    <col min="9991" max="9993" width="15.33203125" style="3" customWidth="1"/>
    <col min="9994" max="9994" width="17" style="3" customWidth="1"/>
    <col min="9995" max="9995" width="0" style="3" hidden="1"/>
    <col min="9996" max="9997" width="15.5546875" style="3" customWidth="1"/>
    <col min="9998" max="9998" width="13.6640625" style="3" customWidth="1"/>
    <col min="9999" max="9999" width="9" style="3" customWidth="1"/>
    <col min="10000" max="10000" width="49.88671875" style="3" customWidth="1"/>
    <col min="10001" max="10001" width="0" style="3" hidden="1"/>
    <col min="10002" max="10003" width="15.88671875" style="3" customWidth="1"/>
    <col min="10004" max="10004" width="14.5546875" style="3" customWidth="1"/>
    <col min="10005" max="10005" width="16.33203125" style="3" customWidth="1"/>
    <col min="10006" max="10006" width="18.109375" style="3" customWidth="1"/>
    <col min="10007" max="10007" width="14.109375" style="3" customWidth="1"/>
    <col min="10008" max="10234" width="0" style="3" hidden="1"/>
    <col min="10235" max="10235" width="7.5546875" style="3" customWidth="1"/>
    <col min="10236" max="10236" width="36.77734375" style="3" customWidth="1"/>
    <col min="10237" max="10238" width="0" style="3" hidden="1"/>
    <col min="10239" max="10239" width="16.6640625" style="3" customWidth="1"/>
    <col min="10240" max="10240" width="17.33203125" style="3" customWidth="1"/>
    <col min="10241" max="10241" width="15.5546875" style="3" customWidth="1"/>
    <col min="10242" max="10242" width="0" style="3" hidden="1"/>
    <col min="10243" max="10243" width="16.6640625" style="3" customWidth="1"/>
    <col min="10244" max="10244" width="17.44140625" style="3" customWidth="1"/>
    <col min="10245" max="10246" width="0" style="3" hidden="1"/>
    <col min="10247" max="10249" width="15.33203125" style="3" customWidth="1"/>
    <col min="10250" max="10250" width="17" style="3" customWidth="1"/>
    <col min="10251" max="10251" width="0" style="3" hidden="1"/>
    <col min="10252" max="10253" width="15.5546875" style="3" customWidth="1"/>
    <col min="10254" max="10254" width="13.6640625" style="3" customWidth="1"/>
    <col min="10255" max="10255" width="9" style="3" customWidth="1"/>
    <col min="10256" max="10256" width="49.88671875" style="3" customWidth="1"/>
    <col min="10257" max="10257" width="0" style="3" hidden="1"/>
    <col min="10258" max="10259" width="15.88671875" style="3" customWidth="1"/>
    <col min="10260" max="10260" width="14.5546875" style="3" customWidth="1"/>
    <col min="10261" max="10261" width="16.33203125" style="3" customWidth="1"/>
    <col min="10262" max="10262" width="18.109375" style="3" customWidth="1"/>
    <col min="10263" max="10263" width="14.109375" style="3" customWidth="1"/>
    <col min="10264" max="10490" width="0" style="3" hidden="1"/>
    <col min="10491" max="10491" width="7.5546875" style="3" customWidth="1"/>
    <col min="10492" max="10492" width="36.77734375" style="3" customWidth="1"/>
    <col min="10493" max="10494" width="0" style="3" hidden="1"/>
    <col min="10495" max="10495" width="16.6640625" style="3" customWidth="1"/>
    <col min="10496" max="10496" width="17.33203125" style="3" customWidth="1"/>
    <col min="10497" max="10497" width="15.5546875" style="3" customWidth="1"/>
    <col min="10498" max="10498" width="0" style="3" hidden="1"/>
    <col min="10499" max="10499" width="16.6640625" style="3" customWidth="1"/>
    <col min="10500" max="10500" width="17.44140625" style="3" customWidth="1"/>
    <col min="10501" max="10502" width="0" style="3" hidden="1"/>
    <col min="10503" max="10505" width="15.33203125" style="3" customWidth="1"/>
    <col min="10506" max="10506" width="17" style="3" customWidth="1"/>
    <col min="10507" max="10507" width="0" style="3" hidden="1"/>
    <col min="10508" max="10509" width="15.5546875" style="3" customWidth="1"/>
    <col min="10510" max="10510" width="13.6640625" style="3" customWidth="1"/>
    <col min="10511" max="10511" width="9" style="3" customWidth="1"/>
    <col min="10512" max="10512" width="49.88671875" style="3" customWidth="1"/>
    <col min="10513" max="10513" width="0" style="3" hidden="1"/>
    <col min="10514" max="10515" width="15.88671875" style="3" customWidth="1"/>
    <col min="10516" max="10516" width="14.5546875" style="3" customWidth="1"/>
    <col min="10517" max="10517" width="16.33203125" style="3" customWidth="1"/>
    <col min="10518" max="10518" width="18.109375" style="3" customWidth="1"/>
    <col min="10519" max="10519" width="14.109375" style="3" customWidth="1"/>
    <col min="10520" max="10746" width="0" style="3" hidden="1"/>
    <col min="10747" max="10747" width="7.5546875" style="3" customWidth="1"/>
    <col min="10748" max="10748" width="36.77734375" style="3" customWidth="1"/>
    <col min="10749" max="10750" width="0" style="3" hidden="1"/>
    <col min="10751" max="10751" width="16.6640625" style="3" customWidth="1"/>
    <col min="10752" max="10752" width="17.33203125" style="3" customWidth="1"/>
    <col min="10753" max="10753" width="15.5546875" style="3" customWidth="1"/>
    <col min="10754" max="10754" width="0" style="3" hidden="1"/>
    <col min="10755" max="10755" width="16.6640625" style="3" customWidth="1"/>
    <col min="10756" max="10756" width="17.44140625" style="3" customWidth="1"/>
    <col min="10757" max="10758" width="0" style="3" hidden="1"/>
    <col min="10759" max="10761" width="15.33203125" style="3" customWidth="1"/>
    <col min="10762" max="10762" width="17" style="3" customWidth="1"/>
    <col min="10763" max="10763" width="0" style="3" hidden="1"/>
    <col min="10764" max="10765" width="15.5546875" style="3" customWidth="1"/>
    <col min="10766" max="10766" width="13.6640625" style="3" customWidth="1"/>
    <col min="10767" max="10767" width="9" style="3" customWidth="1"/>
    <col min="10768" max="10768" width="49.88671875" style="3" customWidth="1"/>
    <col min="10769" max="10769" width="0" style="3" hidden="1"/>
    <col min="10770" max="10771" width="15.88671875" style="3" customWidth="1"/>
    <col min="10772" max="10772" width="14.5546875" style="3" customWidth="1"/>
    <col min="10773" max="10773" width="16.33203125" style="3" customWidth="1"/>
    <col min="10774" max="10774" width="18.109375" style="3" customWidth="1"/>
    <col min="10775" max="10775" width="14.109375" style="3" customWidth="1"/>
    <col min="10776" max="11002" width="0" style="3" hidden="1"/>
    <col min="11003" max="11003" width="7.5546875" style="3" customWidth="1"/>
    <col min="11004" max="11004" width="36.77734375" style="3" customWidth="1"/>
    <col min="11005" max="11006" width="0" style="3" hidden="1"/>
    <col min="11007" max="11007" width="16.6640625" style="3" customWidth="1"/>
    <col min="11008" max="11008" width="17.33203125" style="3" customWidth="1"/>
    <col min="11009" max="11009" width="15.5546875" style="3" customWidth="1"/>
    <col min="11010" max="11010" width="0" style="3" hidden="1"/>
    <col min="11011" max="11011" width="16.6640625" style="3" customWidth="1"/>
    <col min="11012" max="11012" width="17.44140625" style="3" customWidth="1"/>
    <col min="11013" max="11014" width="0" style="3" hidden="1"/>
    <col min="11015" max="11017" width="15.33203125" style="3" customWidth="1"/>
    <col min="11018" max="11018" width="17" style="3" customWidth="1"/>
    <col min="11019" max="11019" width="0" style="3" hidden="1"/>
    <col min="11020" max="11021" width="15.5546875" style="3" customWidth="1"/>
    <col min="11022" max="11022" width="13.6640625" style="3" customWidth="1"/>
    <col min="11023" max="11023" width="9" style="3" customWidth="1"/>
    <col min="11024" max="11024" width="49.88671875" style="3" customWidth="1"/>
    <col min="11025" max="11025" width="0" style="3" hidden="1"/>
    <col min="11026" max="11027" width="15.88671875" style="3" customWidth="1"/>
    <col min="11028" max="11028" width="14.5546875" style="3" customWidth="1"/>
    <col min="11029" max="11029" width="16.33203125" style="3" customWidth="1"/>
    <col min="11030" max="11030" width="18.109375" style="3" customWidth="1"/>
    <col min="11031" max="11031" width="14.109375" style="3" customWidth="1"/>
    <col min="11032" max="11258" width="0" style="3" hidden="1"/>
    <col min="11259" max="11259" width="7.5546875" style="3" customWidth="1"/>
    <col min="11260" max="11260" width="36.77734375" style="3" customWidth="1"/>
    <col min="11261" max="11262" width="0" style="3" hidden="1"/>
    <col min="11263" max="11263" width="16.6640625" style="3" customWidth="1"/>
    <col min="11264" max="11264" width="17.33203125" style="3" customWidth="1"/>
    <col min="11265" max="11265" width="15.5546875" style="3" customWidth="1"/>
    <col min="11266" max="11266" width="0" style="3" hidden="1"/>
    <col min="11267" max="11267" width="16.6640625" style="3" customWidth="1"/>
    <col min="11268" max="11268" width="17.44140625" style="3" customWidth="1"/>
    <col min="11269" max="11270" width="0" style="3" hidden="1"/>
    <col min="11271" max="11273" width="15.33203125" style="3" customWidth="1"/>
    <col min="11274" max="11274" width="17" style="3" customWidth="1"/>
    <col min="11275" max="11275" width="0" style="3" hidden="1"/>
    <col min="11276" max="11277" width="15.5546875" style="3" customWidth="1"/>
    <col min="11278" max="11278" width="13.6640625" style="3" customWidth="1"/>
    <col min="11279" max="11279" width="9" style="3" customWidth="1"/>
    <col min="11280" max="11280" width="49.88671875" style="3" customWidth="1"/>
    <col min="11281" max="11281" width="0" style="3" hidden="1"/>
    <col min="11282" max="11283" width="15.88671875" style="3" customWidth="1"/>
    <col min="11284" max="11284" width="14.5546875" style="3" customWidth="1"/>
    <col min="11285" max="11285" width="16.33203125" style="3" customWidth="1"/>
    <col min="11286" max="11286" width="18.109375" style="3" customWidth="1"/>
    <col min="11287" max="11287" width="14.109375" style="3" customWidth="1"/>
    <col min="11288" max="11514" width="0" style="3" hidden="1"/>
    <col min="11515" max="11515" width="7.5546875" style="3" customWidth="1"/>
    <col min="11516" max="11516" width="36.77734375" style="3" customWidth="1"/>
    <col min="11517" max="11518" width="0" style="3" hidden="1"/>
    <col min="11519" max="11519" width="16.6640625" style="3" customWidth="1"/>
    <col min="11520" max="11520" width="17.33203125" style="3" customWidth="1"/>
    <col min="11521" max="11521" width="15.5546875" style="3" customWidth="1"/>
    <col min="11522" max="11522" width="0" style="3" hidden="1"/>
    <col min="11523" max="11523" width="16.6640625" style="3" customWidth="1"/>
    <col min="11524" max="11524" width="17.44140625" style="3" customWidth="1"/>
    <col min="11525" max="11526" width="0" style="3" hidden="1"/>
    <col min="11527" max="11529" width="15.33203125" style="3" customWidth="1"/>
    <col min="11530" max="11530" width="17" style="3" customWidth="1"/>
    <col min="11531" max="11531" width="0" style="3" hidden="1"/>
    <col min="11532" max="11533" width="15.5546875" style="3" customWidth="1"/>
    <col min="11534" max="11534" width="13.6640625" style="3" customWidth="1"/>
    <col min="11535" max="11535" width="9" style="3" customWidth="1"/>
    <col min="11536" max="11536" width="49.88671875" style="3" customWidth="1"/>
    <col min="11537" max="11537" width="0" style="3" hidden="1"/>
    <col min="11538" max="11539" width="15.88671875" style="3" customWidth="1"/>
    <col min="11540" max="11540" width="14.5546875" style="3" customWidth="1"/>
    <col min="11541" max="11541" width="16.33203125" style="3" customWidth="1"/>
    <col min="11542" max="11542" width="18.109375" style="3" customWidth="1"/>
    <col min="11543" max="11543" width="14.109375" style="3" customWidth="1"/>
    <col min="11544" max="11770" width="0" style="3" hidden="1"/>
    <col min="11771" max="11771" width="7.5546875" style="3" customWidth="1"/>
    <col min="11772" max="11772" width="36.77734375" style="3" customWidth="1"/>
    <col min="11773" max="11774" width="0" style="3" hidden="1"/>
    <col min="11775" max="11775" width="16.6640625" style="3" customWidth="1"/>
    <col min="11776" max="11776" width="17.33203125" style="3" customWidth="1"/>
    <col min="11777" max="11777" width="15.5546875" style="3" customWidth="1"/>
    <col min="11778" max="11778" width="0" style="3" hidden="1"/>
    <col min="11779" max="11779" width="16.6640625" style="3" customWidth="1"/>
    <col min="11780" max="11780" width="17.44140625" style="3" customWidth="1"/>
    <col min="11781" max="11782" width="0" style="3" hidden="1"/>
    <col min="11783" max="11785" width="15.33203125" style="3" customWidth="1"/>
    <col min="11786" max="11786" width="17" style="3" customWidth="1"/>
    <col min="11787" max="11787" width="0" style="3" hidden="1"/>
    <col min="11788" max="11789" width="15.5546875" style="3" customWidth="1"/>
    <col min="11790" max="11790" width="13.6640625" style="3" customWidth="1"/>
    <col min="11791" max="11791" width="9" style="3" customWidth="1"/>
    <col min="11792" max="11792" width="49.88671875" style="3" customWidth="1"/>
    <col min="11793" max="11793" width="0" style="3" hidden="1"/>
    <col min="11794" max="11795" width="15.88671875" style="3" customWidth="1"/>
    <col min="11796" max="11796" width="14.5546875" style="3" customWidth="1"/>
    <col min="11797" max="11797" width="16.33203125" style="3" customWidth="1"/>
    <col min="11798" max="11798" width="18.109375" style="3" customWidth="1"/>
    <col min="11799" max="11799" width="14.109375" style="3" customWidth="1"/>
    <col min="11800" max="12026" width="0" style="3" hidden="1"/>
    <col min="12027" max="12027" width="7.5546875" style="3" customWidth="1"/>
    <col min="12028" max="12028" width="36.77734375" style="3" customWidth="1"/>
    <col min="12029" max="12030" width="0" style="3" hidden="1"/>
    <col min="12031" max="12031" width="16.6640625" style="3" customWidth="1"/>
    <col min="12032" max="12032" width="17.33203125" style="3" customWidth="1"/>
    <col min="12033" max="12033" width="15.5546875" style="3" customWidth="1"/>
    <col min="12034" max="12034" width="0" style="3" hidden="1"/>
    <col min="12035" max="12035" width="16.6640625" style="3" customWidth="1"/>
    <col min="12036" max="12036" width="17.44140625" style="3" customWidth="1"/>
    <col min="12037" max="12038" width="0" style="3" hidden="1"/>
    <col min="12039" max="12041" width="15.33203125" style="3" customWidth="1"/>
    <col min="12042" max="12042" width="17" style="3" customWidth="1"/>
    <col min="12043" max="12043" width="0" style="3" hidden="1"/>
    <col min="12044" max="12045" width="15.5546875" style="3" customWidth="1"/>
    <col min="12046" max="12046" width="13.6640625" style="3" customWidth="1"/>
    <col min="12047" max="12047" width="9" style="3" customWidth="1"/>
    <col min="12048" max="12048" width="49.88671875" style="3" customWidth="1"/>
    <col min="12049" max="12049" width="0" style="3" hidden="1"/>
    <col min="12050" max="12051" width="15.88671875" style="3" customWidth="1"/>
    <col min="12052" max="12052" width="14.5546875" style="3" customWidth="1"/>
    <col min="12053" max="12053" width="16.33203125" style="3" customWidth="1"/>
    <col min="12054" max="12054" width="18.109375" style="3" customWidth="1"/>
    <col min="12055" max="12055" width="14.109375" style="3" customWidth="1"/>
    <col min="12056" max="12282" width="0" style="3" hidden="1"/>
    <col min="12283" max="12283" width="7.5546875" style="3" customWidth="1"/>
    <col min="12284" max="12284" width="36.77734375" style="3" customWidth="1"/>
    <col min="12285" max="12286" width="0" style="3" hidden="1"/>
    <col min="12287" max="12287" width="16.6640625" style="3" customWidth="1"/>
    <col min="12288" max="12288" width="17.33203125" style="3" customWidth="1"/>
    <col min="12289" max="12289" width="15.5546875" style="3" customWidth="1"/>
    <col min="12290" max="12290" width="0" style="3" hidden="1"/>
    <col min="12291" max="12291" width="16.6640625" style="3" customWidth="1"/>
    <col min="12292" max="12292" width="17.44140625" style="3" customWidth="1"/>
    <col min="12293" max="12294" width="0" style="3" hidden="1"/>
    <col min="12295" max="12297" width="15.33203125" style="3" customWidth="1"/>
    <col min="12298" max="12298" width="17" style="3" customWidth="1"/>
    <col min="12299" max="12299" width="0" style="3" hidden="1"/>
    <col min="12300" max="12301" width="15.5546875" style="3" customWidth="1"/>
    <col min="12302" max="12302" width="13.6640625" style="3" customWidth="1"/>
    <col min="12303" max="12303" width="9" style="3" customWidth="1"/>
    <col min="12304" max="12304" width="49.88671875" style="3" customWidth="1"/>
    <col min="12305" max="12305" width="0" style="3" hidden="1"/>
    <col min="12306" max="12307" width="15.88671875" style="3" customWidth="1"/>
    <col min="12308" max="12308" width="14.5546875" style="3" customWidth="1"/>
    <col min="12309" max="12309" width="16.33203125" style="3" customWidth="1"/>
    <col min="12310" max="12310" width="18.109375" style="3" customWidth="1"/>
    <col min="12311" max="12311" width="14.109375" style="3" customWidth="1"/>
    <col min="12312" max="12538" width="0" style="3" hidden="1"/>
    <col min="12539" max="12539" width="7.5546875" style="3" customWidth="1"/>
    <col min="12540" max="12540" width="36.77734375" style="3" customWidth="1"/>
    <col min="12541" max="12542" width="0" style="3" hidden="1"/>
    <col min="12543" max="12543" width="16.6640625" style="3" customWidth="1"/>
    <col min="12544" max="12544" width="17.33203125" style="3" customWidth="1"/>
    <col min="12545" max="12545" width="15.5546875" style="3" customWidth="1"/>
    <col min="12546" max="12546" width="0" style="3" hidden="1"/>
    <col min="12547" max="12547" width="16.6640625" style="3" customWidth="1"/>
    <col min="12548" max="12548" width="17.44140625" style="3" customWidth="1"/>
    <col min="12549" max="12550" width="0" style="3" hidden="1"/>
    <col min="12551" max="12553" width="15.33203125" style="3" customWidth="1"/>
    <col min="12554" max="12554" width="17" style="3" customWidth="1"/>
    <col min="12555" max="12555" width="0" style="3" hidden="1"/>
    <col min="12556" max="12557" width="15.5546875" style="3" customWidth="1"/>
    <col min="12558" max="12558" width="13.6640625" style="3" customWidth="1"/>
    <col min="12559" max="12559" width="9" style="3" customWidth="1"/>
    <col min="12560" max="12560" width="49.88671875" style="3" customWidth="1"/>
    <col min="12561" max="12561" width="0" style="3" hidden="1"/>
    <col min="12562" max="12563" width="15.88671875" style="3" customWidth="1"/>
    <col min="12564" max="12564" width="14.5546875" style="3" customWidth="1"/>
    <col min="12565" max="12565" width="16.33203125" style="3" customWidth="1"/>
    <col min="12566" max="12566" width="18.109375" style="3" customWidth="1"/>
    <col min="12567" max="12567" width="14.109375" style="3" customWidth="1"/>
    <col min="12568" max="12794" width="0" style="3" hidden="1"/>
    <col min="12795" max="12795" width="7.5546875" style="3" customWidth="1"/>
    <col min="12796" max="12796" width="36.77734375" style="3" customWidth="1"/>
    <col min="12797" max="12798" width="0" style="3" hidden="1"/>
    <col min="12799" max="12799" width="16.6640625" style="3" customWidth="1"/>
    <col min="12800" max="12800" width="17.33203125" style="3" customWidth="1"/>
    <col min="12801" max="12801" width="15.5546875" style="3" customWidth="1"/>
    <col min="12802" max="12802" width="0" style="3" hidden="1"/>
    <col min="12803" max="12803" width="16.6640625" style="3" customWidth="1"/>
    <col min="12804" max="12804" width="17.44140625" style="3" customWidth="1"/>
    <col min="12805" max="12806" width="0" style="3" hidden="1"/>
    <col min="12807" max="12809" width="15.33203125" style="3" customWidth="1"/>
    <col min="12810" max="12810" width="17" style="3" customWidth="1"/>
    <col min="12811" max="12811" width="0" style="3" hidden="1"/>
    <col min="12812" max="12813" width="15.5546875" style="3" customWidth="1"/>
    <col min="12814" max="12814" width="13.6640625" style="3" customWidth="1"/>
    <col min="12815" max="12815" width="9" style="3" customWidth="1"/>
    <col min="12816" max="12816" width="49.88671875" style="3" customWidth="1"/>
    <col min="12817" max="12817" width="0" style="3" hidden="1"/>
    <col min="12818" max="12819" width="15.88671875" style="3" customWidth="1"/>
    <col min="12820" max="12820" width="14.5546875" style="3" customWidth="1"/>
    <col min="12821" max="12821" width="16.33203125" style="3" customWidth="1"/>
    <col min="12822" max="12822" width="18.109375" style="3" customWidth="1"/>
    <col min="12823" max="12823" width="14.109375" style="3" customWidth="1"/>
    <col min="12824" max="13050" width="0" style="3" hidden="1"/>
    <col min="13051" max="13051" width="7.5546875" style="3" customWidth="1"/>
    <col min="13052" max="13052" width="36.77734375" style="3" customWidth="1"/>
    <col min="13053" max="13054" width="0" style="3" hidden="1"/>
    <col min="13055" max="13055" width="16.6640625" style="3" customWidth="1"/>
    <col min="13056" max="13056" width="17.33203125" style="3" customWidth="1"/>
    <col min="13057" max="13057" width="15.5546875" style="3" customWidth="1"/>
    <col min="13058" max="13058" width="0" style="3" hidden="1"/>
    <col min="13059" max="13059" width="16.6640625" style="3" customWidth="1"/>
    <col min="13060" max="13060" width="17.44140625" style="3" customWidth="1"/>
    <col min="13061" max="13062" width="0" style="3" hidden="1"/>
    <col min="13063" max="13065" width="15.33203125" style="3" customWidth="1"/>
    <col min="13066" max="13066" width="17" style="3" customWidth="1"/>
    <col min="13067" max="13067" width="0" style="3" hidden="1"/>
    <col min="13068" max="13069" width="15.5546875" style="3" customWidth="1"/>
    <col min="13070" max="13070" width="13.6640625" style="3" customWidth="1"/>
    <col min="13071" max="13071" width="9" style="3" customWidth="1"/>
    <col min="13072" max="13072" width="49.88671875" style="3" customWidth="1"/>
    <col min="13073" max="13073" width="0" style="3" hidden="1"/>
    <col min="13074" max="13075" width="15.88671875" style="3" customWidth="1"/>
    <col min="13076" max="13076" width="14.5546875" style="3" customWidth="1"/>
    <col min="13077" max="13077" width="16.33203125" style="3" customWidth="1"/>
    <col min="13078" max="13078" width="18.109375" style="3" customWidth="1"/>
    <col min="13079" max="13079" width="14.109375" style="3" customWidth="1"/>
    <col min="13080" max="13306" width="0" style="3" hidden="1"/>
    <col min="13307" max="13307" width="7.5546875" style="3" customWidth="1"/>
    <col min="13308" max="13308" width="36.77734375" style="3" customWidth="1"/>
    <col min="13309" max="13310" width="0" style="3" hidden="1"/>
    <col min="13311" max="13311" width="16.6640625" style="3" customWidth="1"/>
    <col min="13312" max="13312" width="17.33203125" style="3" customWidth="1"/>
    <col min="13313" max="13313" width="15.5546875" style="3" customWidth="1"/>
    <col min="13314" max="13314" width="0" style="3" hidden="1"/>
    <col min="13315" max="13315" width="16.6640625" style="3" customWidth="1"/>
    <col min="13316" max="13316" width="17.44140625" style="3" customWidth="1"/>
    <col min="13317" max="13318" width="0" style="3" hidden="1"/>
    <col min="13319" max="13321" width="15.33203125" style="3" customWidth="1"/>
    <col min="13322" max="13322" width="17" style="3" customWidth="1"/>
    <col min="13323" max="13323" width="0" style="3" hidden="1"/>
    <col min="13324" max="13325" width="15.5546875" style="3" customWidth="1"/>
    <col min="13326" max="13326" width="13.6640625" style="3" customWidth="1"/>
    <col min="13327" max="13327" width="9" style="3" customWidth="1"/>
    <col min="13328" max="13328" width="49.88671875" style="3" customWidth="1"/>
    <col min="13329" max="13329" width="0" style="3" hidden="1"/>
    <col min="13330" max="13331" width="15.88671875" style="3" customWidth="1"/>
    <col min="13332" max="13332" width="14.5546875" style="3" customWidth="1"/>
    <col min="13333" max="13333" width="16.33203125" style="3" customWidth="1"/>
    <col min="13334" max="13334" width="18.109375" style="3" customWidth="1"/>
    <col min="13335" max="13335" width="14.109375" style="3" customWidth="1"/>
    <col min="13336" max="13562" width="0" style="3" hidden="1"/>
    <col min="13563" max="13563" width="7.5546875" style="3" customWidth="1"/>
    <col min="13564" max="13564" width="36.77734375" style="3" customWidth="1"/>
    <col min="13565" max="13566" width="0" style="3" hidden="1"/>
    <col min="13567" max="13567" width="16.6640625" style="3" customWidth="1"/>
    <col min="13568" max="13568" width="17.33203125" style="3" customWidth="1"/>
    <col min="13569" max="13569" width="15.5546875" style="3" customWidth="1"/>
    <col min="13570" max="13570" width="0" style="3" hidden="1"/>
    <col min="13571" max="13571" width="16.6640625" style="3" customWidth="1"/>
    <col min="13572" max="13572" width="17.44140625" style="3" customWidth="1"/>
    <col min="13573" max="13574" width="0" style="3" hidden="1"/>
    <col min="13575" max="13577" width="15.33203125" style="3" customWidth="1"/>
    <col min="13578" max="13578" width="17" style="3" customWidth="1"/>
    <col min="13579" max="13579" width="0" style="3" hidden="1"/>
    <col min="13580" max="13581" width="15.5546875" style="3" customWidth="1"/>
    <col min="13582" max="13582" width="13.6640625" style="3" customWidth="1"/>
    <col min="13583" max="13583" width="9" style="3" customWidth="1"/>
    <col min="13584" max="13584" width="49.88671875" style="3" customWidth="1"/>
    <col min="13585" max="13585" width="0" style="3" hidden="1"/>
    <col min="13586" max="13587" width="15.88671875" style="3" customWidth="1"/>
    <col min="13588" max="13588" width="14.5546875" style="3" customWidth="1"/>
    <col min="13589" max="13589" width="16.33203125" style="3" customWidth="1"/>
    <col min="13590" max="13590" width="18.109375" style="3" customWidth="1"/>
    <col min="13591" max="13591" width="14.109375" style="3" customWidth="1"/>
    <col min="13592" max="13818" width="0" style="3" hidden="1"/>
    <col min="13819" max="13819" width="7.5546875" style="3" customWidth="1"/>
    <col min="13820" max="13820" width="36.77734375" style="3" customWidth="1"/>
    <col min="13821" max="13822" width="0" style="3" hidden="1"/>
    <col min="13823" max="13823" width="16.6640625" style="3" customWidth="1"/>
    <col min="13824" max="13824" width="17.33203125" style="3" customWidth="1"/>
    <col min="13825" max="13825" width="15.5546875" style="3" customWidth="1"/>
    <col min="13826" max="13826" width="0" style="3" hidden="1"/>
    <col min="13827" max="13827" width="16.6640625" style="3" customWidth="1"/>
    <col min="13828" max="13828" width="17.44140625" style="3" customWidth="1"/>
    <col min="13829" max="13830" width="0" style="3" hidden="1"/>
    <col min="13831" max="13833" width="15.33203125" style="3" customWidth="1"/>
    <col min="13834" max="13834" width="17" style="3" customWidth="1"/>
    <col min="13835" max="13835" width="0" style="3" hidden="1"/>
    <col min="13836" max="13837" width="15.5546875" style="3" customWidth="1"/>
    <col min="13838" max="13838" width="13.6640625" style="3" customWidth="1"/>
    <col min="13839" max="13839" width="9" style="3" customWidth="1"/>
    <col min="13840" max="13840" width="49.88671875" style="3" customWidth="1"/>
    <col min="13841" max="13841" width="0" style="3" hidden="1"/>
    <col min="13842" max="13843" width="15.88671875" style="3" customWidth="1"/>
    <col min="13844" max="13844" width="14.5546875" style="3" customWidth="1"/>
    <col min="13845" max="13845" width="16.33203125" style="3" customWidth="1"/>
    <col min="13846" max="13846" width="18.109375" style="3" customWidth="1"/>
    <col min="13847" max="13847" width="14.109375" style="3" customWidth="1"/>
    <col min="13848" max="14074" width="0" style="3" hidden="1"/>
    <col min="14075" max="14075" width="7.5546875" style="3" customWidth="1"/>
    <col min="14076" max="14076" width="36.77734375" style="3" customWidth="1"/>
    <col min="14077" max="14078" width="0" style="3" hidden="1"/>
    <col min="14079" max="14079" width="16.6640625" style="3" customWidth="1"/>
    <col min="14080" max="14080" width="17.33203125" style="3" customWidth="1"/>
    <col min="14081" max="14081" width="15.5546875" style="3" customWidth="1"/>
    <col min="14082" max="14082" width="0" style="3" hidden="1"/>
    <col min="14083" max="14083" width="16.6640625" style="3" customWidth="1"/>
    <col min="14084" max="14084" width="17.44140625" style="3" customWidth="1"/>
    <col min="14085" max="14086" width="0" style="3" hidden="1"/>
    <col min="14087" max="14089" width="15.33203125" style="3" customWidth="1"/>
    <col min="14090" max="14090" width="17" style="3" customWidth="1"/>
    <col min="14091" max="14091" width="0" style="3" hidden="1"/>
    <col min="14092" max="14093" width="15.5546875" style="3" customWidth="1"/>
    <col min="14094" max="14094" width="13.6640625" style="3" customWidth="1"/>
    <col min="14095" max="14095" width="9" style="3" customWidth="1"/>
    <col min="14096" max="14096" width="49.88671875" style="3" customWidth="1"/>
    <col min="14097" max="14097" width="0" style="3" hidden="1"/>
    <col min="14098" max="14099" width="15.88671875" style="3" customWidth="1"/>
    <col min="14100" max="14100" width="14.5546875" style="3" customWidth="1"/>
    <col min="14101" max="14101" width="16.33203125" style="3" customWidth="1"/>
    <col min="14102" max="14102" width="18.109375" style="3" customWidth="1"/>
    <col min="14103" max="14103" width="14.109375" style="3" customWidth="1"/>
    <col min="14104" max="14330" width="0" style="3" hidden="1"/>
    <col min="14331" max="14331" width="7.5546875" style="3" customWidth="1"/>
    <col min="14332" max="14332" width="36.77734375" style="3" customWidth="1"/>
    <col min="14333" max="14334" width="0" style="3" hidden="1"/>
    <col min="14335" max="14335" width="16.6640625" style="3" customWidth="1"/>
    <col min="14336" max="14336" width="17.33203125" style="3" customWidth="1"/>
    <col min="14337" max="14337" width="15.5546875" style="3" customWidth="1"/>
    <col min="14338" max="14338" width="0" style="3" hidden="1"/>
    <col min="14339" max="14339" width="16.6640625" style="3" customWidth="1"/>
    <col min="14340" max="14340" width="17.44140625" style="3" customWidth="1"/>
    <col min="14341" max="14342" width="0" style="3" hidden="1"/>
    <col min="14343" max="14345" width="15.33203125" style="3" customWidth="1"/>
    <col min="14346" max="14346" width="17" style="3" customWidth="1"/>
    <col min="14347" max="14347" width="0" style="3" hidden="1"/>
    <col min="14348" max="14349" width="15.5546875" style="3" customWidth="1"/>
    <col min="14350" max="14350" width="13.6640625" style="3" customWidth="1"/>
    <col min="14351" max="14351" width="9" style="3" customWidth="1"/>
    <col min="14352" max="14352" width="49.88671875" style="3" customWidth="1"/>
    <col min="14353" max="14353" width="0" style="3" hidden="1"/>
    <col min="14354" max="14355" width="15.88671875" style="3" customWidth="1"/>
    <col min="14356" max="14356" width="14.5546875" style="3" customWidth="1"/>
    <col min="14357" max="14357" width="16.33203125" style="3" customWidth="1"/>
    <col min="14358" max="14358" width="18.109375" style="3" customWidth="1"/>
    <col min="14359" max="14359" width="14.109375" style="3" customWidth="1"/>
    <col min="14360" max="14586" width="0" style="3" hidden="1"/>
    <col min="14587" max="14587" width="7.5546875" style="3" customWidth="1"/>
    <col min="14588" max="14588" width="36.77734375" style="3" customWidth="1"/>
    <col min="14589" max="14590" width="0" style="3" hidden="1"/>
    <col min="14591" max="14591" width="16.6640625" style="3" customWidth="1"/>
    <col min="14592" max="14592" width="17.33203125" style="3" customWidth="1"/>
    <col min="14593" max="14593" width="15.5546875" style="3" customWidth="1"/>
    <col min="14594" max="14594" width="0" style="3" hidden="1"/>
    <col min="14595" max="14595" width="16.6640625" style="3" customWidth="1"/>
    <col min="14596" max="14596" width="17.44140625" style="3" customWidth="1"/>
    <col min="14597" max="14598" width="0" style="3" hidden="1"/>
    <col min="14599" max="14601" width="15.33203125" style="3" customWidth="1"/>
    <col min="14602" max="14602" width="17" style="3" customWidth="1"/>
    <col min="14603" max="14603" width="0" style="3" hidden="1"/>
    <col min="14604" max="14605" width="15.5546875" style="3" customWidth="1"/>
    <col min="14606" max="14606" width="13.6640625" style="3" customWidth="1"/>
    <col min="14607" max="14607" width="9" style="3" customWidth="1"/>
    <col min="14608" max="14608" width="49.88671875" style="3" customWidth="1"/>
    <col min="14609" max="14609" width="0" style="3" hidden="1"/>
    <col min="14610" max="14611" width="15.88671875" style="3" customWidth="1"/>
    <col min="14612" max="14612" width="14.5546875" style="3" customWidth="1"/>
    <col min="14613" max="14613" width="16.33203125" style="3" customWidth="1"/>
    <col min="14614" max="14614" width="18.109375" style="3" customWidth="1"/>
    <col min="14615" max="14615" width="14.109375" style="3" customWidth="1"/>
    <col min="14616" max="14842" width="0" style="3" hidden="1"/>
    <col min="14843" max="14843" width="7.5546875" style="3" customWidth="1"/>
    <col min="14844" max="14844" width="36.77734375" style="3" customWidth="1"/>
    <col min="14845" max="14846" width="0" style="3" hidden="1"/>
    <col min="14847" max="14847" width="16.6640625" style="3" customWidth="1"/>
    <col min="14848" max="14848" width="17.33203125" style="3" customWidth="1"/>
    <col min="14849" max="14849" width="15.5546875" style="3" customWidth="1"/>
    <col min="14850" max="14850" width="0" style="3" hidden="1"/>
    <col min="14851" max="14851" width="16.6640625" style="3" customWidth="1"/>
    <col min="14852" max="14852" width="17.44140625" style="3" customWidth="1"/>
    <col min="14853" max="14854" width="0" style="3" hidden="1"/>
    <col min="14855" max="14857" width="15.33203125" style="3" customWidth="1"/>
    <col min="14858" max="14858" width="17" style="3" customWidth="1"/>
    <col min="14859" max="14859" width="0" style="3" hidden="1"/>
    <col min="14860" max="14861" width="15.5546875" style="3" customWidth="1"/>
    <col min="14862" max="14862" width="13.6640625" style="3" customWidth="1"/>
    <col min="14863" max="14863" width="9" style="3" customWidth="1"/>
    <col min="14864" max="14864" width="49.88671875" style="3" customWidth="1"/>
    <col min="14865" max="14865" width="0" style="3" hidden="1"/>
    <col min="14866" max="14867" width="15.88671875" style="3" customWidth="1"/>
    <col min="14868" max="14868" width="14.5546875" style="3" customWidth="1"/>
    <col min="14869" max="14869" width="16.33203125" style="3" customWidth="1"/>
    <col min="14870" max="14870" width="18.109375" style="3" customWidth="1"/>
    <col min="14871" max="14871" width="14.109375" style="3" customWidth="1"/>
    <col min="14872" max="15098" width="0" style="3" hidden="1"/>
    <col min="15099" max="15099" width="7.5546875" style="3" customWidth="1"/>
    <col min="15100" max="15100" width="36.77734375" style="3" customWidth="1"/>
    <col min="15101" max="15102" width="0" style="3" hidden="1"/>
    <col min="15103" max="15103" width="16.6640625" style="3" customWidth="1"/>
    <col min="15104" max="15104" width="17.33203125" style="3" customWidth="1"/>
    <col min="15105" max="15105" width="15.5546875" style="3" customWidth="1"/>
    <col min="15106" max="15106" width="0" style="3" hidden="1"/>
    <col min="15107" max="15107" width="16.6640625" style="3" customWidth="1"/>
    <col min="15108" max="15108" width="17.44140625" style="3" customWidth="1"/>
    <col min="15109" max="15110" width="0" style="3" hidden="1"/>
    <col min="15111" max="15113" width="15.33203125" style="3" customWidth="1"/>
    <col min="15114" max="15114" width="17" style="3" customWidth="1"/>
    <col min="15115" max="15115" width="0" style="3" hidden="1"/>
    <col min="15116" max="15117" width="15.5546875" style="3" customWidth="1"/>
    <col min="15118" max="15118" width="13.6640625" style="3" customWidth="1"/>
    <col min="15119" max="15119" width="9" style="3" customWidth="1"/>
    <col min="15120" max="15120" width="49.88671875" style="3" customWidth="1"/>
    <col min="15121" max="15121" width="0" style="3" hidden="1"/>
    <col min="15122" max="15123" width="15.88671875" style="3" customWidth="1"/>
    <col min="15124" max="15124" width="14.5546875" style="3" customWidth="1"/>
    <col min="15125" max="15125" width="16.33203125" style="3" customWidth="1"/>
    <col min="15126" max="15126" width="18.109375" style="3" customWidth="1"/>
    <col min="15127" max="15127" width="14.109375" style="3" customWidth="1"/>
    <col min="15128" max="15354" width="0" style="3" hidden="1"/>
    <col min="15355" max="15355" width="7.5546875" style="3" customWidth="1"/>
    <col min="15356" max="15356" width="36.77734375" style="3" customWidth="1"/>
    <col min="15357" max="15358" width="0" style="3" hidden="1"/>
    <col min="15359" max="15359" width="16.6640625" style="3" customWidth="1"/>
    <col min="15360" max="15360" width="17.33203125" style="3" customWidth="1"/>
    <col min="15361" max="15361" width="15.5546875" style="3" customWidth="1"/>
    <col min="15362" max="15362" width="0" style="3" hidden="1"/>
    <col min="15363" max="15363" width="16.6640625" style="3" customWidth="1"/>
    <col min="15364" max="15364" width="17.44140625" style="3" customWidth="1"/>
    <col min="15365" max="15366" width="0" style="3" hidden="1"/>
    <col min="15367" max="15369" width="15.33203125" style="3" customWidth="1"/>
    <col min="15370" max="15370" width="17" style="3" customWidth="1"/>
    <col min="15371" max="15371" width="0" style="3" hidden="1"/>
    <col min="15372" max="15373" width="15.5546875" style="3" customWidth="1"/>
    <col min="15374" max="15374" width="13.6640625" style="3" customWidth="1"/>
    <col min="15375" max="15375" width="9" style="3" customWidth="1"/>
    <col min="15376" max="15376" width="49.88671875" style="3" customWidth="1"/>
    <col min="15377" max="15377" width="0" style="3" hidden="1"/>
    <col min="15378" max="15379" width="15.88671875" style="3" customWidth="1"/>
    <col min="15380" max="15380" width="14.5546875" style="3" customWidth="1"/>
    <col min="15381" max="15381" width="16.33203125" style="3" customWidth="1"/>
    <col min="15382" max="15382" width="18.109375" style="3" customWidth="1"/>
    <col min="15383" max="15383" width="14.109375" style="3" customWidth="1"/>
    <col min="15384" max="15610" width="0" style="3" hidden="1"/>
    <col min="15611" max="15611" width="7.5546875" style="3" customWidth="1"/>
    <col min="15612" max="15612" width="36.77734375" style="3" customWidth="1"/>
    <col min="15613" max="15614" width="0" style="3" hidden="1"/>
    <col min="15615" max="15615" width="16.6640625" style="3" customWidth="1"/>
    <col min="15616" max="15616" width="17.33203125" style="3" customWidth="1"/>
    <col min="15617" max="15617" width="15.5546875" style="3" customWidth="1"/>
    <col min="15618" max="15618" width="0" style="3" hidden="1"/>
    <col min="15619" max="15619" width="16.6640625" style="3" customWidth="1"/>
    <col min="15620" max="15620" width="17.44140625" style="3" customWidth="1"/>
    <col min="15621" max="15622" width="0" style="3" hidden="1"/>
    <col min="15623" max="15625" width="15.33203125" style="3" customWidth="1"/>
    <col min="15626" max="15626" width="17" style="3" customWidth="1"/>
    <col min="15627" max="15627" width="0" style="3" hidden="1"/>
    <col min="15628" max="15629" width="15.5546875" style="3" customWidth="1"/>
    <col min="15630" max="15630" width="13.6640625" style="3" customWidth="1"/>
    <col min="15631" max="15631" width="9" style="3" customWidth="1"/>
    <col min="15632" max="15632" width="49.88671875" style="3" customWidth="1"/>
    <col min="15633" max="15633" width="0" style="3" hidden="1"/>
    <col min="15634" max="15635" width="15.88671875" style="3" customWidth="1"/>
    <col min="15636" max="15636" width="14.5546875" style="3" customWidth="1"/>
    <col min="15637" max="15637" width="16.33203125" style="3" customWidth="1"/>
    <col min="15638" max="15638" width="18.109375" style="3" customWidth="1"/>
    <col min="15639" max="15639" width="14.109375" style="3" customWidth="1"/>
    <col min="15640" max="15866" width="0" style="3" hidden="1"/>
    <col min="15867" max="15867" width="7.5546875" style="3" customWidth="1"/>
    <col min="15868" max="15868" width="36.77734375" style="3" customWidth="1"/>
    <col min="15869" max="15870" width="0" style="3" hidden="1"/>
    <col min="15871" max="15871" width="16.6640625" style="3" customWidth="1"/>
    <col min="15872" max="15872" width="17.33203125" style="3" customWidth="1"/>
    <col min="15873" max="15873" width="15.5546875" style="3" customWidth="1"/>
    <col min="15874" max="15874" width="0" style="3" hidden="1"/>
    <col min="15875" max="15875" width="16.6640625" style="3" customWidth="1"/>
    <col min="15876" max="15876" width="17.44140625" style="3" customWidth="1"/>
    <col min="15877" max="15878" width="0" style="3" hidden="1"/>
    <col min="15879" max="15881" width="15.33203125" style="3" customWidth="1"/>
    <col min="15882" max="15882" width="17" style="3" customWidth="1"/>
    <col min="15883" max="15883" width="0" style="3" hidden="1"/>
    <col min="15884" max="15885" width="15.5546875" style="3" customWidth="1"/>
    <col min="15886" max="15886" width="13.6640625" style="3" customWidth="1"/>
    <col min="15887" max="15887" width="9" style="3" customWidth="1"/>
    <col min="15888" max="15888" width="49.88671875" style="3" customWidth="1"/>
    <col min="15889" max="15889" width="0" style="3" hidden="1"/>
    <col min="15890" max="15891" width="15.88671875" style="3" customWidth="1"/>
    <col min="15892" max="15892" width="14.5546875" style="3" customWidth="1"/>
    <col min="15893" max="15893" width="16.33203125" style="3" customWidth="1"/>
    <col min="15894" max="15894" width="18.109375" style="3" customWidth="1"/>
    <col min="15895" max="15895" width="14.109375" style="3" customWidth="1"/>
    <col min="15896" max="16122" width="0" style="3" hidden="1"/>
    <col min="16123" max="16123" width="7.5546875" style="3" customWidth="1"/>
    <col min="16124" max="16124" width="36.77734375" style="3" customWidth="1"/>
    <col min="16125" max="16126" width="0" style="3" hidden="1"/>
    <col min="16127" max="16127" width="16.6640625" style="3" customWidth="1"/>
    <col min="16128" max="16128" width="17.33203125" style="3" customWidth="1"/>
    <col min="16129" max="16129" width="15.5546875" style="3" customWidth="1"/>
    <col min="16130" max="16130" width="0" style="3" hidden="1"/>
    <col min="16131" max="16131" width="16.6640625" style="3" customWidth="1"/>
    <col min="16132" max="16132" width="17.44140625" style="3" customWidth="1"/>
    <col min="16133" max="16134" width="0" style="3" hidden="1"/>
    <col min="16135" max="16137" width="15.33203125" style="3" customWidth="1"/>
    <col min="16138" max="16138" width="17" style="3" customWidth="1"/>
    <col min="16139" max="16139" width="0" style="3" hidden="1"/>
    <col min="16140" max="16141" width="15.5546875" style="3" customWidth="1"/>
    <col min="16142" max="16142" width="13.6640625" style="3" customWidth="1"/>
    <col min="16143" max="16143" width="9" style="3" customWidth="1"/>
    <col min="16144" max="16144" width="49.88671875" style="3" customWidth="1"/>
    <col min="16145" max="16145" width="0" style="3" hidden="1"/>
    <col min="16146" max="16147" width="15.88671875" style="3" customWidth="1"/>
    <col min="16148" max="16148" width="14.5546875" style="3" customWidth="1"/>
    <col min="16149" max="16149" width="16.33203125" style="3" customWidth="1"/>
    <col min="16150" max="16150" width="18.109375" style="3" customWidth="1"/>
    <col min="16151" max="16151" width="14.109375" style="3" customWidth="1"/>
    <col min="16152" max="16384" width="0" style="3" hidden="1"/>
  </cols>
  <sheetData>
    <row r="1" spans="1:252" ht="24.75" customHeight="1">
      <c r="A1" s="137" t="s">
        <v>73</v>
      </c>
      <c r="B1" s="1"/>
      <c r="C1" s="1"/>
      <c r="D1" s="1"/>
      <c r="E1" s="1"/>
      <c r="F1" s="45"/>
      <c r="G1" s="53"/>
      <c r="H1" s="53"/>
      <c r="I1" s="45"/>
      <c r="J1" s="45"/>
      <c r="K1" s="45"/>
      <c r="L1" s="1"/>
      <c r="M1" s="1"/>
      <c r="N1" s="1"/>
      <c r="O1" s="1"/>
      <c r="P1" s="1"/>
      <c r="Q1" s="45"/>
      <c r="R1" s="45"/>
      <c r="S1" s="1"/>
      <c r="T1" s="2"/>
      <c r="U1" s="1"/>
      <c r="V1" s="2"/>
      <c r="W1" s="3"/>
    </row>
    <row r="2" spans="1:252" ht="24.75" customHeight="1">
      <c r="A2" s="138" t="s">
        <v>128</v>
      </c>
      <c r="B2" s="6"/>
      <c r="C2" s="6"/>
      <c r="D2" s="6"/>
      <c r="E2" s="6"/>
      <c r="F2" s="46"/>
      <c r="G2" s="54"/>
      <c r="H2" s="54"/>
      <c r="I2" s="46"/>
      <c r="J2" s="46"/>
      <c r="K2" s="46"/>
      <c r="L2" s="6"/>
      <c r="M2" s="6"/>
      <c r="N2" s="6"/>
      <c r="O2" s="6"/>
      <c r="P2" s="6"/>
      <c r="Q2" s="46"/>
      <c r="R2" s="46"/>
      <c r="S2" s="6"/>
      <c r="T2" s="7"/>
      <c r="U2" s="6"/>
      <c r="V2" s="7"/>
      <c r="W2" s="3"/>
    </row>
    <row r="3" spans="1:252" ht="26.25" customHeight="1">
      <c r="A3" s="8" t="s">
        <v>105</v>
      </c>
      <c r="B3" s="8"/>
      <c r="C3" s="9"/>
      <c r="D3" s="9"/>
      <c r="E3" s="9"/>
      <c r="F3" s="11"/>
      <c r="G3" s="26"/>
      <c r="H3" s="26"/>
      <c r="I3" s="11"/>
      <c r="J3" s="11"/>
      <c r="K3" s="11"/>
      <c r="L3" s="10"/>
      <c r="M3" s="10"/>
      <c r="N3" s="10"/>
      <c r="O3" s="10"/>
      <c r="P3" s="10"/>
      <c r="Q3" s="11"/>
      <c r="R3" s="11"/>
      <c r="S3" s="14"/>
      <c r="U3" s="14"/>
      <c r="V3" s="13"/>
      <c r="W3" s="3"/>
    </row>
    <row r="4" spans="1:252" ht="22.2" customHeight="1" thickBot="1">
      <c r="A4" s="15"/>
      <c r="B4" s="15"/>
      <c r="C4" s="9"/>
      <c r="D4" s="9"/>
      <c r="E4" s="9"/>
      <c r="F4" s="11"/>
      <c r="G4" s="26"/>
      <c r="H4" s="26"/>
      <c r="I4" s="11"/>
      <c r="J4" s="11"/>
      <c r="K4" s="11"/>
      <c r="L4" s="121">
        <v>0.05</v>
      </c>
      <c r="M4" s="121">
        <v>0.25</v>
      </c>
      <c r="N4" s="199"/>
      <c r="O4" s="199"/>
      <c r="P4" s="199"/>
      <c r="Q4" s="207">
        <v>0.25</v>
      </c>
      <c r="R4" s="11"/>
      <c r="S4" s="14"/>
      <c r="U4" s="14"/>
      <c r="V4" s="13"/>
      <c r="W4" s="3"/>
    </row>
    <row r="5" spans="1:252" s="17" customFormat="1" ht="70.2" thickBot="1">
      <c r="A5" s="428" t="s">
        <v>0</v>
      </c>
      <c r="B5" s="429" t="s">
        <v>40</v>
      </c>
      <c r="C5" s="235" t="s">
        <v>1</v>
      </c>
      <c r="D5" s="235" t="s">
        <v>6</v>
      </c>
      <c r="E5" s="473" t="s">
        <v>45</v>
      </c>
      <c r="F5" s="430" t="s">
        <v>31</v>
      </c>
      <c r="G5" s="431" t="s">
        <v>37</v>
      </c>
      <c r="H5" s="398" t="s">
        <v>109</v>
      </c>
      <c r="I5" s="432" t="s">
        <v>38</v>
      </c>
      <c r="J5" s="239" t="s">
        <v>41</v>
      </c>
      <c r="K5" s="239" t="s">
        <v>116</v>
      </c>
      <c r="L5" s="240" t="s">
        <v>117</v>
      </c>
      <c r="M5" s="240" t="s">
        <v>118</v>
      </c>
      <c r="N5" s="239" t="s">
        <v>119</v>
      </c>
      <c r="O5" s="391" t="s">
        <v>113</v>
      </c>
      <c r="P5" s="391" t="s">
        <v>114</v>
      </c>
      <c r="Q5" s="391" t="s">
        <v>115</v>
      </c>
      <c r="R5" s="241" t="s">
        <v>120</v>
      </c>
      <c r="S5" s="141" t="s">
        <v>39</v>
      </c>
      <c r="T5" s="474" t="s">
        <v>43</v>
      </c>
      <c r="U5" s="475" t="s">
        <v>7</v>
      </c>
      <c r="V5" s="16"/>
    </row>
    <row r="6" spans="1:252" s="158" customFormat="1" ht="23.4" customHeight="1">
      <c r="A6" s="442">
        <v>1</v>
      </c>
      <c r="B6" s="443" t="s">
        <v>122</v>
      </c>
      <c r="C6" s="444" t="s">
        <v>123</v>
      </c>
      <c r="D6" s="445" t="s">
        <v>82</v>
      </c>
      <c r="E6" s="445" t="s">
        <v>59</v>
      </c>
      <c r="F6" s="446">
        <v>4542.0600000000004</v>
      </c>
      <c r="G6" s="447">
        <v>243892</v>
      </c>
      <c r="H6" s="448"/>
      <c r="I6" s="449">
        <f>Table13514520105[[#This Row],[ค่าบริการรายเดือนตาม Package]]+Table13514520105[[#This Row],[รายการเบิก
คอมขายเพิ่มเติม
(เป้าตามกำหนด)
100-200%]]</f>
        <v>4542.0600000000004</v>
      </c>
      <c r="J6" s="448"/>
      <c r="K6" s="448"/>
      <c r="L6" s="450">
        <f>IF(Table13514520105[[#This Row],[ค่าขายอุปกรณ์]]&gt;Table13514520105[[#This Row],[ต้นทุนค่าขายอุปกรณ์]],Table13514520105[[#This Row],[ต้นทุนค่าขายอุปกรณ์]]*$L$4,Table13514520105[[#This Row],[ค่าขายอุปกรณ์]]*$L$4)</f>
        <v>0</v>
      </c>
      <c r="M6" s="450">
        <f>IF(Table13514520105[[#This Row],[ค่าขายอุปกรณ์]]&gt;Table13514520105[[#This Row],[ต้นทุนค่าขายอุปกรณ์]],SUM(Table13514520105[[#This Row],[ค่าขายอุปกรณ์]]-Table13514520105[[#This Row],[ต้นทุนค่าขายอุปกรณ์]])*$M$4,0)</f>
        <v>0</v>
      </c>
      <c r="N6" s="451">
        <f>Table13514520105[[#This Row],[คอมฯอุปกรณ์
 5%]]+Table13514520105[[#This Row],[คอมฯ อุปกรณ์
25%]]</f>
        <v>0</v>
      </c>
      <c r="O6" s="452"/>
      <c r="P6" s="452"/>
      <c r="Q6" s="453">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6" s="454">
        <f>Table13514520105[[#This Row],[รายการเบิก
คอมขาย]]+Table13514520105[[#This Row],[Total
คอมฯ อุปกรณ์]]+Table13514520105[[#This Row],[Total 
คอมฯค่าติดตั้ง/ค่าเชื่อมสัญญาณ]]</f>
        <v>4542.0600000000004</v>
      </c>
      <c r="S6" s="455" t="s">
        <v>125</v>
      </c>
      <c r="T6" s="456" t="s">
        <v>127</v>
      </c>
      <c r="U6" s="457" t="s">
        <v>126</v>
      </c>
      <c r="V6" s="3"/>
      <c r="W6" s="507" t="s">
        <v>131</v>
      </c>
      <c r="X6" s="507"/>
      <c r="Y6" s="507"/>
      <c r="Z6" s="507"/>
      <c r="AA6" s="507"/>
      <c r="AB6" s="507"/>
      <c r="AC6" s="507"/>
      <c r="AD6" s="507"/>
      <c r="AE6" s="507"/>
      <c r="AF6" s="507"/>
      <c r="AG6" s="507"/>
      <c r="AH6" s="507"/>
      <c r="AI6" s="507"/>
      <c r="AJ6" s="507"/>
      <c r="AK6" s="507"/>
      <c r="AL6" s="507"/>
      <c r="AM6" s="507"/>
      <c r="AN6" s="507"/>
      <c r="AO6" s="507"/>
      <c r="AP6" s="507"/>
      <c r="AQ6" s="507"/>
      <c r="AR6" s="507"/>
      <c r="AS6" s="507"/>
      <c r="AT6" s="507"/>
      <c r="AU6" s="507"/>
      <c r="AV6" s="507"/>
      <c r="AW6" s="507"/>
      <c r="AX6" s="507"/>
      <c r="AY6" s="507"/>
      <c r="AZ6" s="507"/>
      <c r="BA6" s="507"/>
      <c r="BB6" s="507"/>
      <c r="BC6" s="507"/>
      <c r="BD6" s="507"/>
      <c r="BE6" s="507"/>
      <c r="BF6" s="507"/>
      <c r="BG6" s="507"/>
      <c r="BH6" s="507"/>
      <c r="BI6" s="507"/>
      <c r="BJ6" s="507"/>
      <c r="BK6" s="507"/>
      <c r="BL6" s="507"/>
      <c r="BM6" s="507"/>
      <c r="BN6" s="507"/>
      <c r="BO6" s="507"/>
      <c r="BP6" s="507"/>
      <c r="BQ6" s="507"/>
      <c r="BR6" s="507"/>
      <c r="BS6" s="507"/>
      <c r="BT6" s="507"/>
      <c r="BU6" s="507"/>
      <c r="BV6" s="507"/>
      <c r="BW6" s="507"/>
      <c r="BX6" s="507"/>
      <c r="BY6" s="507"/>
      <c r="BZ6" s="507"/>
      <c r="CA6" s="507"/>
      <c r="CB6" s="507"/>
      <c r="CC6" s="507"/>
      <c r="CD6" s="507"/>
      <c r="CE6" s="507"/>
      <c r="CF6" s="507"/>
      <c r="CG6" s="507"/>
      <c r="CH6" s="507"/>
      <c r="CI6" s="507"/>
      <c r="CJ6" s="507"/>
      <c r="CK6" s="507"/>
      <c r="CL6" s="507"/>
      <c r="CM6" s="507"/>
      <c r="CN6" s="507"/>
      <c r="CO6" s="507"/>
      <c r="CP6" s="507"/>
      <c r="CQ6" s="507"/>
      <c r="CR6" s="507"/>
      <c r="CS6" s="507"/>
      <c r="CT6" s="507"/>
      <c r="CU6" s="507"/>
      <c r="CV6" s="507"/>
      <c r="CW6" s="507"/>
      <c r="CX6" s="507"/>
      <c r="CY6" s="507"/>
      <c r="CZ6" s="507"/>
      <c r="DA6" s="507"/>
      <c r="DB6" s="507"/>
      <c r="DC6" s="507"/>
      <c r="DD6" s="507"/>
      <c r="DE6" s="507"/>
      <c r="DF6" s="507"/>
      <c r="DG6" s="507"/>
      <c r="DH6" s="507"/>
      <c r="DI6" s="507"/>
      <c r="DJ6" s="507"/>
      <c r="DK6" s="507"/>
      <c r="DL6" s="507"/>
      <c r="DM6" s="507"/>
      <c r="DN6" s="507"/>
      <c r="DO6" s="507"/>
      <c r="DP6" s="507"/>
      <c r="DQ6" s="507"/>
      <c r="DR6" s="507"/>
      <c r="DS6" s="507"/>
      <c r="DT6" s="507"/>
      <c r="DU6" s="507"/>
      <c r="DV6" s="507"/>
      <c r="DW6" s="507"/>
      <c r="DX6" s="507"/>
      <c r="DY6" s="507"/>
      <c r="DZ6" s="507"/>
      <c r="EA6" s="507"/>
      <c r="EB6" s="507"/>
      <c r="EC6" s="507"/>
      <c r="ED6" s="507"/>
      <c r="EE6" s="507"/>
      <c r="EF6" s="507"/>
      <c r="EG6" s="507"/>
      <c r="EH6" s="507"/>
      <c r="EI6" s="507"/>
      <c r="EJ6" s="507"/>
      <c r="EK6" s="507"/>
      <c r="EL6" s="507"/>
      <c r="EM6" s="507"/>
      <c r="EN6" s="507"/>
      <c r="EO6" s="507"/>
      <c r="EP6" s="507"/>
      <c r="EQ6" s="507"/>
      <c r="ER6" s="507"/>
      <c r="ES6" s="507"/>
      <c r="ET6" s="507"/>
      <c r="EU6" s="507"/>
      <c r="EV6" s="507"/>
      <c r="EW6" s="507"/>
      <c r="EX6" s="507"/>
      <c r="EY6" s="507"/>
      <c r="EZ6" s="507"/>
      <c r="FA6" s="507"/>
      <c r="FB6" s="507"/>
      <c r="FC6" s="507"/>
      <c r="FD6" s="507"/>
      <c r="FE6" s="507"/>
      <c r="FF6" s="507"/>
      <c r="FG6" s="507"/>
      <c r="FH6" s="507"/>
      <c r="FI6" s="507"/>
      <c r="FJ6" s="507"/>
      <c r="FK6" s="507"/>
      <c r="FL6" s="507"/>
      <c r="FM6" s="507"/>
      <c r="FN6" s="507"/>
      <c r="FO6" s="507"/>
      <c r="FP6" s="507"/>
      <c r="FQ6" s="507"/>
      <c r="FR6" s="507"/>
      <c r="FS6" s="507"/>
      <c r="FT6" s="507"/>
      <c r="FU6" s="507"/>
      <c r="FV6" s="507"/>
      <c r="FW6" s="507"/>
      <c r="FX6" s="507"/>
      <c r="FY6" s="507"/>
      <c r="FZ6" s="507"/>
      <c r="GA6" s="507"/>
      <c r="GB6" s="507"/>
      <c r="GC6" s="507"/>
      <c r="GD6" s="507"/>
      <c r="GE6" s="507"/>
      <c r="GF6" s="507"/>
      <c r="GG6" s="507"/>
      <c r="GH6" s="507"/>
      <c r="GI6" s="507"/>
      <c r="GJ6" s="507"/>
      <c r="GK6" s="507"/>
      <c r="GL6" s="507"/>
      <c r="GM6" s="507"/>
      <c r="GN6" s="507"/>
      <c r="GO6" s="507"/>
      <c r="GP6" s="507"/>
      <c r="GQ6" s="507"/>
      <c r="GR6" s="507"/>
      <c r="GS6" s="507"/>
      <c r="GT6" s="507"/>
      <c r="GU6" s="507"/>
      <c r="GV6" s="507"/>
      <c r="GW6" s="507"/>
      <c r="GX6" s="507"/>
      <c r="GY6" s="507"/>
      <c r="GZ6" s="507"/>
      <c r="HA6" s="507"/>
      <c r="HB6" s="507"/>
      <c r="HC6" s="507"/>
      <c r="HD6" s="507"/>
      <c r="HE6" s="507"/>
      <c r="HF6" s="507"/>
      <c r="HG6" s="507"/>
      <c r="HH6" s="507"/>
      <c r="HI6" s="507"/>
      <c r="HJ6" s="507"/>
      <c r="HK6" s="507"/>
      <c r="HL6" s="507"/>
      <c r="HM6" s="507"/>
      <c r="HN6" s="507"/>
      <c r="HO6" s="507"/>
      <c r="HP6" s="507"/>
      <c r="HQ6" s="507"/>
      <c r="HR6" s="507"/>
      <c r="HS6" s="507"/>
      <c r="HT6" s="507"/>
      <c r="HU6" s="507"/>
      <c r="HV6" s="507"/>
      <c r="HW6" s="507"/>
      <c r="HX6" s="507"/>
      <c r="HY6" s="507"/>
      <c r="HZ6" s="507"/>
      <c r="IA6" s="507"/>
      <c r="IB6" s="507"/>
      <c r="IC6" s="507"/>
      <c r="ID6" s="507"/>
      <c r="IE6" s="507"/>
      <c r="IF6" s="507"/>
      <c r="IG6" s="507"/>
      <c r="IH6" s="507"/>
      <c r="II6" s="507"/>
      <c r="IJ6" s="507"/>
      <c r="IK6" s="507"/>
      <c r="IL6" s="507"/>
      <c r="IM6" s="507"/>
      <c r="IN6" s="507"/>
      <c r="IO6" s="507"/>
      <c r="IP6" s="507"/>
      <c r="IQ6" s="507"/>
      <c r="IR6" s="507"/>
    </row>
    <row r="7" spans="1:252" s="158" customFormat="1" ht="23.4" customHeight="1">
      <c r="A7" s="159">
        <v>1.1000000000000001</v>
      </c>
      <c r="B7" s="160"/>
      <c r="C7" s="18" t="s">
        <v>124</v>
      </c>
      <c r="D7" s="31"/>
      <c r="E7" s="31"/>
      <c r="F7" s="38"/>
      <c r="G7" s="42"/>
      <c r="H7" s="154"/>
      <c r="I7" s="47"/>
      <c r="J7" s="150"/>
      <c r="K7" s="151"/>
      <c r="L7" s="161"/>
      <c r="M7" s="162"/>
      <c r="N7" s="162"/>
      <c r="O7" s="162"/>
      <c r="P7" s="162"/>
      <c r="Q7" s="47"/>
      <c r="R7" s="418"/>
      <c r="S7" s="132"/>
      <c r="T7" s="187"/>
      <c r="U7" s="182"/>
      <c r="V7" s="3"/>
    </row>
    <row r="8" spans="1:252" s="158" customFormat="1" ht="23.4" customHeight="1" thickBot="1">
      <c r="A8" s="476">
        <v>1.2</v>
      </c>
      <c r="B8" s="477"/>
      <c r="C8" s="478"/>
      <c r="D8" s="463"/>
      <c r="E8" s="463"/>
      <c r="F8" s="464"/>
      <c r="G8" s="465"/>
      <c r="H8" s="479"/>
      <c r="I8" s="466"/>
      <c r="J8" s="464"/>
      <c r="K8" s="464"/>
      <c r="L8" s="467"/>
      <c r="M8" s="467"/>
      <c r="N8" s="467"/>
      <c r="O8" s="467"/>
      <c r="P8" s="467"/>
      <c r="Q8" s="466"/>
      <c r="R8" s="480"/>
      <c r="S8" s="469"/>
      <c r="T8" s="481"/>
      <c r="U8" s="482"/>
      <c r="V8" s="135"/>
    </row>
    <row r="9" spans="1:252" s="158" customFormat="1" ht="23.4" customHeight="1">
      <c r="A9" s="442">
        <v>2</v>
      </c>
      <c r="B9" s="443" t="s">
        <v>132</v>
      </c>
      <c r="C9" s="444" t="s">
        <v>133</v>
      </c>
      <c r="D9" s="445" t="s">
        <v>84</v>
      </c>
      <c r="E9" s="445" t="s">
        <v>59</v>
      </c>
      <c r="F9" s="446">
        <v>4000</v>
      </c>
      <c r="G9" s="447">
        <v>243923</v>
      </c>
      <c r="H9" s="448"/>
      <c r="I9" s="449">
        <f>Table13514520105[[#This Row],[ค่าบริการรายเดือนตาม Package]]+Table13514520105[[#This Row],[รายการเบิก
คอมขายเพิ่มเติม
(เป้าตามกำหนด)
100-200%]]</f>
        <v>4000</v>
      </c>
      <c r="J9" s="448"/>
      <c r="K9" s="448"/>
      <c r="L9" s="450">
        <f>IF(Table13514520105[[#This Row],[ค่าขายอุปกรณ์]]&gt;Table13514520105[[#This Row],[ต้นทุนค่าขายอุปกรณ์]],Table13514520105[[#This Row],[ต้นทุนค่าขายอุปกรณ์]]*$L$4,Table13514520105[[#This Row],[ค่าขายอุปกรณ์]]*$L$4)</f>
        <v>0</v>
      </c>
      <c r="M9" s="450">
        <f>IF(Table13514520105[[#This Row],[ค่าขายอุปกรณ์]]&gt;Table13514520105[[#This Row],[ต้นทุนค่าขายอุปกรณ์]],SUM(Table13514520105[[#This Row],[ค่าขายอุปกรณ์]]-Table13514520105[[#This Row],[ต้นทุนค่าขายอุปกรณ์]])*$M$4,0)</f>
        <v>0</v>
      </c>
      <c r="N9" s="451">
        <f>Table13514520105[[#This Row],[คอมฯอุปกรณ์
 5%]]+Table13514520105[[#This Row],[คอมฯ อุปกรณ์
25%]]</f>
        <v>0</v>
      </c>
      <c r="O9" s="452"/>
      <c r="P9" s="452"/>
      <c r="Q9" s="453">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9" s="454">
        <f>Table13514520105[[#This Row],[รายการเบิก
คอมขาย]]+Table13514520105[[#This Row],[Total
คอมฯ อุปกรณ์]]+Table13514520105[[#This Row],[Total 
คอมฯค่าติดตั้ง/ค่าเชื่อมสัญญาณ]]</f>
        <v>4000</v>
      </c>
      <c r="S9" s="455" t="s">
        <v>135</v>
      </c>
      <c r="T9" s="508" t="s">
        <v>145</v>
      </c>
      <c r="U9" s="457" t="s">
        <v>121</v>
      </c>
      <c r="V9" s="458"/>
    </row>
    <row r="10" spans="1:252" s="158" customFormat="1" ht="23.4" customHeight="1">
      <c r="A10" s="159"/>
      <c r="B10" s="160"/>
      <c r="C10" s="18" t="s">
        <v>134</v>
      </c>
      <c r="D10" s="31"/>
      <c r="E10" s="31"/>
      <c r="F10" s="38"/>
      <c r="G10" s="42"/>
      <c r="H10" s="154"/>
      <c r="I10" s="47"/>
      <c r="J10" s="150"/>
      <c r="K10" s="151"/>
      <c r="L10" s="161"/>
      <c r="M10" s="162"/>
      <c r="N10" s="162"/>
      <c r="O10" s="162"/>
      <c r="P10" s="162"/>
      <c r="Q10" s="47"/>
      <c r="R10" s="418"/>
      <c r="S10" s="132"/>
      <c r="T10" s="187"/>
      <c r="U10" s="182"/>
      <c r="V10" s="459"/>
    </row>
    <row r="11" spans="1:252" s="439" customFormat="1" ht="23.4" customHeight="1" thickBot="1">
      <c r="A11" s="460"/>
      <c r="B11" s="461"/>
      <c r="C11" s="462"/>
      <c r="D11" s="463"/>
      <c r="E11" s="463"/>
      <c r="F11" s="464"/>
      <c r="G11" s="465"/>
      <c r="H11" s="465"/>
      <c r="I11" s="466"/>
      <c r="J11" s="464"/>
      <c r="K11" s="464"/>
      <c r="L11" s="467"/>
      <c r="M11" s="467"/>
      <c r="N11" s="467"/>
      <c r="O11" s="467"/>
      <c r="P11" s="467"/>
      <c r="Q11" s="466"/>
      <c r="R11" s="468"/>
      <c r="S11" s="469"/>
      <c r="T11" s="470"/>
      <c r="U11" s="471"/>
      <c r="V11" s="472"/>
    </row>
    <row r="12" spans="1:252" s="439" customFormat="1" ht="23.4" customHeight="1">
      <c r="A12" s="436">
        <v>3</v>
      </c>
      <c r="B12" s="437" t="s">
        <v>136</v>
      </c>
      <c r="C12" s="440" t="s">
        <v>137</v>
      </c>
      <c r="D12" s="445" t="s">
        <v>78</v>
      </c>
      <c r="E12" s="445" t="s">
        <v>59</v>
      </c>
      <c r="F12" s="39">
        <v>3500</v>
      </c>
      <c r="G12" s="509">
        <v>243923</v>
      </c>
      <c r="H12" s="43"/>
      <c r="I12" s="449">
        <f>Table13514520105[[#This Row],[ค่าบริการรายเดือนตาม Package]]+Table13514520105[[#This Row],[รายการเบิก
คอมขายเพิ่มเติม
(เป้าตามกำหนด)
100-200%]]</f>
        <v>3500</v>
      </c>
      <c r="J12" s="39"/>
      <c r="K12" s="39"/>
      <c r="L12" s="434"/>
      <c r="M12" s="450">
        <f>IF(Table13514520105[[#This Row],[ค่าขายอุปกรณ์]]&gt;Table13514520105[[#This Row],[ต้นทุนค่าขายอุปกรณ์]],SUM(Table13514520105[[#This Row],[ค่าขายอุปกรณ์]]-Table13514520105[[#This Row],[ต้นทุนค่าขายอุปกรณ์]])*$M$4,0)</f>
        <v>0</v>
      </c>
      <c r="N12" s="451">
        <f>Table13514520105[[#This Row],[คอมฯอุปกรณ์
 5%]]+Table13514520105[[#This Row],[คอมฯ อุปกรณ์
25%]]</f>
        <v>0</v>
      </c>
      <c r="O12" s="162"/>
      <c r="P12" s="162"/>
      <c r="Q12" s="453">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2" s="454">
        <f>Table13514520105[[#This Row],[รายการเบิก
คอมขาย]]+Table13514520105[[#This Row],[Total
คอมฯ อุปกรณ์]]+Table13514520105[[#This Row],[Total 
คอมฯค่าติดตั้ง/ค่าเชื่อมสัญญาณ]]</f>
        <v>3500</v>
      </c>
      <c r="S12" s="134" t="s">
        <v>139</v>
      </c>
      <c r="T12" s="508" t="s">
        <v>145</v>
      </c>
      <c r="U12" s="184" t="s">
        <v>121</v>
      </c>
      <c r="V12" s="167"/>
    </row>
    <row r="13" spans="1:252" s="439" customFormat="1" ht="23.4" customHeight="1">
      <c r="A13" s="436"/>
      <c r="B13" s="437"/>
      <c r="C13" s="440" t="s">
        <v>138</v>
      </c>
      <c r="D13" s="33"/>
      <c r="E13" s="441"/>
      <c r="F13" s="39"/>
      <c r="G13" s="43"/>
      <c r="H13" s="43"/>
      <c r="I13" s="48"/>
      <c r="J13" s="39"/>
      <c r="K13" s="39"/>
      <c r="L13" s="434"/>
      <c r="M13" s="162"/>
      <c r="N13" s="162"/>
      <c r="O13" s="162"/>
      <c r="P13" s="162"/>
      <c r="Q13" s="435"/>
      <c r="R13" s="438"/>
      <c r="S13" s="134"/>
      <c r="T13" s="190"/>
      <c r="U13" s="184"/>
      <c r="V13" s="167"/>
    </row>
    <row r="14" spans="1:252" s="439" customFormat="1" ht="23.4" customHeight="1" thickBot="1">
      <c r="A14" s="436"/>
      <c r="B14" s="437"/>
      <c r="C14" s="440"/>
      <c r="D14" s="33"/>
      <c r="E14" s="441"/>
      <c r="F14" s="39"/>
      <c r="G14" s="43"/>
      <c r="H14" s="43"/>
      <c r="I14" s="48"/>
      <c r="J14" s="39"/>
      <c r="K14" s="39"/>
      <c r="L14" s="434"/>
      <c r="M14" s="162"/>
      <c r="N14" s="162"/>
      <c r="O14" s="162"/>
      <c r="P14" s="162"/>
      <c r="Q14" s="435"/>
      <c r="R14" s="438"/>
      <c r="S14" s="134"/>
      <c r="T14" s="190"/>
      <c r="U14" s="184"/>
      <c r="V14" s="167"/>
    </row>
    <row r="15" spans="1:252" s="158" customFormat="1" ht="23.4" customHeight="1">
      <c r="A15" s="496">
        <v>4</v>
      </c>
      <c r="B15" s="497" t="s">
        <v>140</v>
      </c>
      <c r="C15" s="498" t="s">
        <v>142</v>
      </c>
      <c r="D15" s="445" t="s">
        <v>79</v>
      </c>
      <c r="E15" s="445" t="s">
        <v>59</v>
      </c>
      <c r="F15" s="448">
        <v>6500</v>
      </c>
      <c r="G15" s="447">
        <v>243923</v>
      </c>
      <c r="H15" s="448"/>
      <c r="I15" s="449">
        <f>Table13514520105[[#This Row],[ค่าบริการรายเดือนตาม Package]]+Table13514520105[[#This Row],[รายการเบิก
คอมขายเพิ่มเติม
(เป้าตามกำหนด)
100-200%]]</f>
        <v>6500</v>
      </c>
      <c r="J15" s="448"/>
      <c r="K15" s="448"/>
      <c r="L15" s="450">
        <f>IF(Table13514520105[[#This Row],[ค่าขายอุปกรณ์]]&gt;Table13514520105[[#This Row],[ต้นทุนค่าขายอุปกรณ์]],Table13514520105[[#This Row],[ต้นทุนค่าขายอุปกรณ์]]*$L$4,Table13514520105[[#This Row],[ค่าขายอุปกรณ์]]*$L$4)</f>
        <v>0</v>
      </c>
      <c r="M15" s="450">
        <f>IF(Table13514520105[[#This Row],[ค่าขายอุปกรณ์]]&gt;Table13514520105[[#This Row],[ต้นทุนค่าขายอุปกรณ์]],SUM(Table13514520105[[#This Row],[ค่าขายอุปกรณ์]]-Table13514520105[[#This Row],[ต้นทุนค่าขายอุปกรณ์]])*$M$4,0)</f>
        <v>0</v>
      </c>
      <c r="N15" s="451">
        <f>Table13514520105[[#This Row],[คอมฯอุปกรณ์
 5%]]+Table13514520105[[#This Row],[คอมฯ อุปกรณ์
25%]]</f>
        <v>0</v>
      </c>
      <c r="O15" s="450"/>
      <c r="P15" s="450"/>
      <c r="Q15" s="453">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5" s="454">
        <f>Table13514520105[[#This Row],[รายการเบิก
คอมขาย]]+Table13514520105[[#This Row],[Total
คอมฯ อุปกรณ์]]+Table13514520105[[#This Row],[Total 
คอมฯค่าติดตั้ง/ค่าเชื่อมสัญญาณ]]</f>
        <v>6500</v>
      </c>
      <c r="S15" s="455" t="s">
        <v>143</v>
      </c>
      <c r="T15" s="508" t="s">
        <v>145</v>
      </c>
      <c r="U15" s="499" t="s">
        <v>144</v>
      </c>
      <c r="V15" s="3"/>
    </row>
    <row r="16" spans="1:252" s="158" customFormat="1" ht="23.4" customHeight="1">
      <c r="A16" s="159">
        <v>3.1</v>
      </c>
      <c r="B16" s="166"/>
      <c r="C16" s="370" t="s">
        <v>141</v>
      </c>
      <c r="D16" s="153"/>
      <c r="E16" s="152"/>
      <c r="F16" s="153"/>
      <c r="G16" s="154"/>
      <c r="H16" s="154"/>
      <c r="I16" s="47"/>
      <c r="J16" s="131"/>
      <c r="K16" s="136"/>
      <c r="L16" s="168"/>
      <c r="M16" s="169"/>
      <c r="N16" s="162"/>
      <c r="O16" s="169"/>
      <c r="P16" s="169"/>
      <c r="Q16" s="47"/>
      <c r="R16" s="418"/>
      <c r="S16" s="132"/>
      <c r="T16" s="189"/>
      <c r="U16" s="500"/>
      <c r="V16" s="133"/>
    </row>
    <row r="17" spans="1:23" s="158" customFormat="1" ht="23.4" customHeight="1" thickBot="1">
      <c r="A17" s="476">
        <v>3.2</v>
      </c>
      <c r="B17" s="477"/>
      <c r="C17" s="501"/>
      <c r="D17" s="502"/>
      <c r="E17" s="503"/>
      <c r="F17" s="464"/>
      <c r="G17" s="465"/>
      <c r="H17" s="479"/>
      <c r="I17" s="466"/>
      <c r="J17" s="504"/>
      <c r="K17" s="504"/>
      <c r="L17" s="505"/>
      <c r="M17" s="505"/>
      <c r="N17" s="467"/>
      <c r="O17" s="505"/>
      <c r="P17" s="505"/>
      <c r="Q17" s="466"/>
      <c r="R17" s="480"/>
      <c r="S17" s="469"/>
      <c r="T17" s="470"/>
      <c r="U17" s="506"/>
      <c r="V17" s="167"/>
    </row>
    <row r="18" spans="1:23" s="158" customFormat="1" ht="23.4" hidden="1" customHeight="1">
      <c r="A18" s="483">
        <v>5</v>
      </c>
      <c r="B18" s="484"/>
      <c r="C18" s="485"/>
      <c r="D18" s="152"/>
      <c r="E18" s="152"/>
      <c r="F18" s="486"/>
      <c r="G18" s="487"/>
      <c r="H18" s="486"/>
      <c r="I18" s="488">
        <f>Table13514520105[[#This Row],[ค่าบริการรายเดือนตาม Package]]+Table13514520105[[#This Row],[รายการเบิก
คอมขายเพิ่มเติม
(เป้าตามกำหนด)
100-200%]]</f>
        <v>0</v>
      </c>
      <c r="J18" s="486"/>
      <c r="K18" s="489"/>
      <c r="L18" s="490">
        <f>IF(Table13514520105[[#This Row],[ค่าขายอุปกรณ์]]&gt;Table13514520105[[#This Row],[ต้นทุนค่าขายอุปกรณ์]],Table13514520105[[#This Row],[ต้นทุนค่าขายอุปกรณ์]]*$L$4,Table13514520105[[#This Row],[ค่าขายอุปกรณ์]]*$L$4)</f>
        <v>0</v>
      </c>
      <c r="M18" s="490">
        <f>IF(Table13514520105[[#This Row],[ค่าขายอุปกรณ์]]&gt;Table13514520105[[#This Row],[ต้นทุนค่าขายอุปกรณ์]],SUM(Table13514520105[[#This Row],[ค่าขายอุปกรณ์]]-Table13514520105[[#This Row],[ต้นทุนค่าขายอุปกรณ์]])*$M$4,0)</f>
        <v>0</v>
      </c>
      <c r="N18" s="491">
        <f>Table13514520105[[#This Row],[คอมฯอุปกรณ์
 5%]]+Table13514520105[[#This Row],[คอมฯ อุปกรณ์
25%]]</f>
        <v>0</v>
      </c>
      <c r="O18" s="490"/>
      <c r="P18" s="490"/>
      <c r="Q18" s="492">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8" s="419">
        <f>Table13514520105[[#This Row],[รายการเบิก
คอมขาย]]+Table13514520105[[#This Row],[Total
คอมฯ อุปกรณ์]]+Table13514520105[[#This Row],[Total 
คอมฯค่าติดตั้ง/ค่าเชื่อมสัญญาณ]]</f>
        <v>0</v>
      </c>
      <c r="S18" s="493"/>
      <c r="T18" s="494"/>
      <c r="U18" s="495"/>
      <c r="V18" s="3"/>
    </row>
    <row r="19" spans="1:23" s="158" customFormat="1" ht="23.4" hidden="1" customHeight="1">
      <c r="A19" s="159">
        <v>5.0999999999999996</v>
      </c>
      <c r="B19" s="166"/>
      <c r="C19" s="422"/>
      <c r="D19" s="152"/>
      <c r="E19" s="152"/>
      <c r="F19" s="153"/>
      <c r="G19" s="154"/>
      <c r="H19" s="154"/>
      <c r="I19" s="47"/>
      <c r="J19" s="131"/>
      <c r="K19" s="136"/>
      <c r="L19" s="168"/>
      <c r="M19" s="169"/>
      <c r="N19" s="162"/>
      <c r="O19" s="169"/>
      <c r="P19" s="169"/>
      <c r="Q19" s="47"/>
      <c r="R19" s="418"/>
      <c r="S19" s="132"/>
      <c r="T19" s="187"/>
      <c r="U19" s="183"/>
      <c r="V19" s="133"/>
    </row>
    <row r="20" spans="1:23" s="158" customFormat="1" ht="23.4" hidden="1" customHeight="1" thickBot="1">
      <c r="A20" s="163">
        <v>5.2</v>
      </c>
      <c r="B20" s="160"/>
      <c r="C20" s="120"/>
      <c r="D20" s="152"/>
      <c r="E20" s="152"/>
      <c r="F20" s="153"/>
      <c r="G20" s="154"/>
      <c r="H20" s="154"/>
      <c r="I20" s="48"/>
      <c r="J20" s="153"/>
      <c r="K20" s="153"/>
      <c r="L20" s="169"/>
      <c r="M20" s="169"/>
      <c r="N20" s="162"/>
      <c r="O20" s="169"/>
      <c r="P20" s="169"/>
      <c r="Q20" s="48"/>
      <c r="R20" s="419"/>
      <c r="S20" s="134"/>
      <c r="T20" s="188"/>
      <c r="U20" s="184"/>
      <c r="V20" s="135"/>
    </row>
    <row r="21" spans="1:23" s="158" customFormat="1" ht="23.4" hidden="1" customHeight="1">
      <c r="A21" s="423">
        <v>6</v>
      </c>
      <c r="B21" s="164"/>
      <c r="C21" s="165"/>
      <c r="D21" s="30"/>
      <c r="E21" s="30"/>
      <c r="F21" s="156"/>
      <c r="G21" s="399"/>
      <c r="H21" s="156"/>
      <c r="I21" s="397">
        <f>Table13514520105[[#This Row],[ค่าบริการรายเดือนตาม Package]]+Table13514520105[[#This Row],[รายการเบิก
คอมขายเพิ่มเติม
(เป้าตามกำหนด)
100-200%]]</f>
        <v>0</v>
      </c>
      <c r="J21" s="156"/>
      <c r="K21" s="37"/>
      <c r="L21" s="157">
        <f>IF(Table13514520105[[#This Row],[ค่าขายอุปกรณ์]]&gt;Table13514520105[[#This Row],[ต้นทุนค่าขายอุปกรณ์]],Table13514520105[[#This Row],[ต้นทุนค่าขายอุปกรณ์]]*$L$4,Table13514520105[[#This Row],[ค่าขายอุปกรณ์]]*$L$4)</f>
        <v>0</v>
      </c>
      <c r="M21" s="157">
        <f>IF(Table13514520105[[#This Row],[ค่าขายอุปกรณ์]]&gt;Table13514520105[[#This Row],[ต้นทุนค่าขายอุปกรณ์]],SUM(Table13514520105[[#This Row],[ค่าขายอุปกรณ์]]-Table13514520105[[#This Row],[ต้นทุนค่าขายอุปกรณ์]])*$M$4,0)</f>
        <v>0</v>
      </c>
      <c r="N21" s="416">
        <f>Table13514520105[[#This Row],[คอมฯอุปกรณ์
 5%]]+Table13514520105[[#This Row],[คอมฯ อุปกรณ์
25%]]</f>
        <v>0</v>
      </c>
      <c r="O21" s="157"/>
      <c r="P21" s="157"/>
      <c r="Q21" s="413">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21" s="417">
        <f>Table13514520105[[#This Row],[รายการเบิก
คอมขาย]]+Table13514520105[[#This Row],[Total
คอมฯ อุปกรณ์]]+Table13514520105[[#This Row],[Total 
คอมฯค่าติดตั้ง/ค่าเชื่อมสัญญาณ]]</f>
        <v>0</v>
      </c>
      <c r="S21" s="268"/>
      <c r="T21" s="186"/>
      <c r="U21" s="371"/>
      <c r="V21" s="3"/>
    </row>
    <row r="22" spans="1:23" s="158" customFormat="1" ht="23.4" hidden="1" customHeight="1">
      <c r="A22" s="424">
        <v>7.1</v>
      </c>
      <c r="B22" s="166"/>
      <c r="C22" s="176"/>
      <c r="D22" s="152"/>
      <c r="E22" s="152"/>
      <c r="F22" s="153"/>
      <c r="G22" s="154"/>
      <c r="H22" s="154"/>
      <c r="I22" s="47"/>
      <c r="J22" s="131"/>
      <c r="K22" s="136"/>
      <c r="L22" s="168"/>
      <c r="M22" s="169"/>
      <c r="N22" s="162"/>
      <c r="O22" s="169"/>
      <c r="P22" s="169"/>
      <c r="Q22" s="47"/>
      <c r="R22" s="418"/>
      <c r="S22" s="271"/>
      <c r="T22" s="372"/>
      <c r="U22" s="373"/>
      <c r="V22" s="3"/>
    </row>
    <row r="23" spans="1:23" s="158" customFormat="1" ht="23.4" hidden="1" customHeight="1" thickBot="1">
      <c r="A23" s="163">
        <v>7.2</v>
      </c>
      <c r="B23" s="160"/>
      <c r="C23" s="120"/>
      <c r="D23" s="152"/>
      <c r="E23" s="152"/>
      <c r="F23" s="153"/>
      <c r="G23" s="154"/>
      <c r="H23" s="154"/>
      <c r="I23" s="48"/>
      <c r="J23" s="153"/>
      <c r="K23" s="153"/>
      <c r="L23" s="169"/>
      <c r="M23" s="169"/>
      <c r="N23" s="162"/>
      <c r="O23" s="169"/>
      <c r="P23" s="169"/>
      <c r="Q23" s="48"/>
      <c r="R23" s="419"/>
      <c r="S23" s="273"/>
      <c r="T23" s="188"/>
      <c r="U23" s="34"/>
      <c r="V23" s="3"/>
    </row>
    <row r="24" spans="1:23" s="158" customFormat="1" ht="23.4" hidden="1" customHeight="1">
      <c r="A24" s="423">
        <v>7</v>
      </c>
      <c r="B24" s="425"/>
      <c r="C24" s="165"/>
      <c r="D24" s="30"/>
      <c r="E24" s="30"/>
      <c r="F24" s="156"/>
      <c r="G24" s="399"/>
      <c r="H24" s="156"/>
      <c r="I24" s="397">
        <f>Table13514520105[[#This Row],[ค่าบริการรายเดือนตาม Package]]+Table13514520105[[#This Row],[รายการเบิก
คอมขายเพิ่มเติม
(เป้าตามกำหนด)
100-200%]]</f>
        <v>0</v>
      </c>
      <c r="J24" s="156"/>
      <c r="K24" s="192"/>
      <c r="L24" s="157">
        <f>IF(Table13514520105[[#This Row],[ค่าขายอุปกรณ์]]&gt;Table13514520105[[#This Row],[ต้นทุนค่าขายอุปกรณ์]],Table13514520105[[#This Row],[ต้นทุนค่าขายอุปกรณ์]]*$L$4,Table13514520105[[#This Row],[ค่าขายอุปกรณ์]]*$L$4)</f>
        <v>0</v>
      </c>
      <c r="M24" s="157">
        <f>IF(Table13514520105[[#This Row],[ค่าขายอุปกรณ์]]&gt;Table13514520105[[#This Row],[ต้นทุนค่าขายอุปกรณ์]],SUM(Table13514520105[[#This Row],[ค่าขายอุปกรณ์]]-Table13514520105[[#This Row],[ต้นทุนค่าขายอุปกรณ์]])*$M$4,0)</f>
        <v>0</v>
      </c>
      <c r="N24" s="416">
        <f>Table13514520105[[#This Row],[คอมฯอุปกรณ์
 5%]]+Table13514520105[[#This Row],[คอมฯ อุปกรณ์
25%]]</f>
        <v>0</v>
      </c>
      <c r="O24" s="157"/>
      <c r="P24" s="192"/>
      <c r="Q24" s="413">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24" s="417">
        <f>Table13514520105[[#This Row],[รายการเบิก
คอมขาย]]+Table13514520105[[#This Row],[Total
คอมฯ อุปกรณ์]]+Table13514520105[[#This Row],[Total 
คอมฯค่าติดตั้ง/ค่าเชื่อมสัญญาณ]]</f>
        <v>0</v>
      </c>
      <c r="S24" s="268"/>
      <c r="T24" s="186"/>
      <c r="U24" s="371"/>
      <c r="V24" s="3"/>
    </row>
    <row r="25" spans="1:23" s="158" customFormat="1" ht="23.4" hidden="1" customHeight="1">
      <c r="A25" s="424">
        <v>8.1</v>
      </c>
      <c r="B25" s="160"/>
      <c r="C25" s="422"/>
      <c r="D25" s="152"/>
      <c r="E25" s="152"/>
      <c r="F25" s="153"/>
      <c r="G25" s="154"/>
      <c r="H25" s="154"/>
      <c r="I25" s="47"/>
      <c r="J25" s="131"/>
      <c r="K25" s="136"/>
      <c r="L25" s="168"/>
      <c r="M25" s="169"/>
      <c r="N25" s="162"/>
      <c r="O25" s="169"/>
      <c r="P25" s="169"/>
      <c r="Q25" s="47"/>
      <c r="R25" s="418"/>
      <c r="S25" s="132"/>
      <c r="T25" s="272"/>
      <c r="U25" s="373"/>
      <c r="V25" s="3"/>
    </row>
    <row r="26" spans="1:23" s="158" customFormat="1" ht="82.2" hidden="1" customHeight="1" thickBot="1">
      <c r="A26" s="163">
        <v>8.1999999999999993</v>
      </c>
      <c r="B26" s="160"/>
      <c r="C26" s="415"/>
      <c r="D26" s="152"/>
      <c r="E26" s="152"/>
      <c r="F26" s="153"/>
      <c r="G26" s="154"/>
      <c r="H26" s="154"/>
      <c r="I26" s="48"/>
      <c r="J26" s="153"/>
      <c r="K26" s="153"/>
      <c r="L26" s="169"/>
      <c r="M26" s="169"/>
      <c r="N26" s="162"/>
      <c r="O26" s="169"/>
      <c r="P26" s="169"/>
      <c r="Q26" s="48"/>
      <c r="R26" s="419"/>
      <c r="S26" s="273"/>
      <c r="T26" s="264"/>
      <c r="U26" s="34"/>
      <c r="V26" s="277"/>
    </row>
    <row r="27" spans="1:23" ht="22.95" hidden="1" customHeight="1">
      <c r="A27" s="420">
        <v>8</v>
      </c>
      <c r="B27" s="421"/>
      <c r="C27" s="165"/>
      <c r="D27" s="30"/>
      <c r="E27" s="30"/>
      <c r="F27" s="156"/>
      <c r="G27" s="426"/>
      <c r="H27" s="156"/>
      <c r="I27" s="397">
        <f>Table13514520105[[#This Row],[ค่าบริการรายเดือนตาม Package]]+Table13514520105[[#This Row],[รายการเบิก
คอมขายเพิ่มเติม
(เป้าตามกำหนด)
100-200%]]</f>
        <v>0</v>
      </c>
      <c r="J27" s="156"/>
      <c r="K27" s="192"/>
      <c r="L27" s="157">
        <f>IF(Table13514520105[[#This Row],[ค่าขายอุปกรณ์]]&gt;Table13514520105[[#This Row],[ต้นทุนค่าขายอุปกรณ์]],Table13514520105[[#This Row],[ต้นทุนค่าขายอุปกรณ์]]*$L$4,Table13514520105[[#This Row],[ค่าขายอุปกรณ์]]*$L$4)</f>
        <v>0</v>
      </c>
      <c r="M27" s="157">
        <f>IF(Table13514520105[[#This Row],[ค่าขายอุปกรณ์]]&gt;Table13514520105[[#This Row],[ต้นทุนค่าขายอุปกรณ์]],SUM(Table13514520105[[#This Row],[ค่าขายอุปกรณ์]]-Table13514520105[[#This Row],[ต้นทุนค่าขายอุปกรณ์]])*$M$4,0)</f>
        <v>0</v>
      </c>
      <c r="N27" s="416">
        <f>Table13514520105[[#This Row],[คอมฯอุปกรณ์
 5%]]+Table13514520105[[#This Row],[คอมฯ อุปกรณ์
25%]]</f>
        <v>0</v>
      </c>
      <c r="O27" s="157"/>
      <c r="P27" s="157"/>
      <c r="Q27" s="413">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27" s="417">
        <f>Table13514520105[[#This Row],[รายการเบิก
คอมขาย]]+Table13514520105[[#This Row],[Total
คอมฯ อุปกรณ์]]+Table13514520105[[#This Row],[Total 
คอมฯค่าติดตั้ง/ค่าเชื่อมสัญญาณ]]</f>
        <v>0</v>
      </c>
      <c r="S27" s="268"/>
      <c r="T27" s="249"/>
      <c r="U27" s="371"/>
      <c r="V27" s="3"/>
      <c r="W27" s="3"/>
    </row>
    <row r="28" spans="1:23" s="158" customFormat="1" ht="23.4" hidden="1" customHeight="1">
      <c r="A28" s="424">
        <v>9.1</v>
      </c>
      <c r="B28" s="160"/>
      <c r="C28" s="422"/>
      <c r="D28" s="152"/>
      <c r="E28" s="152"/>
      <c r="F28" s="153"/>
      <c r="G28" s="154"/>
      <c r="H28" s="154"/>
      <c r="I28" s="47"/>
      <c r="J28" s="131"/>
      <c r="K28" s="136"/>
      <c r="L28" s="168"/>
      <c r="M28" s="169"/>
      <c r="N28" s="162"/>
      <c r="O28" s="169"/>
      <c r="P28" s="169"/>
      <c r="Q28" s="47"/>
      <c r="R28" s="418"/>
      <c r="S28" s="271"/>
      <c r="T28" s="272"/>
      <c r="U28" s="373"/>
      <c r="V28" s="3"/>
    </row>
    <row r="29" spans="1:23" ht="25.5" hidden="1" customHeight="1">
      <c r="A29" s="163">
        <v>9.1999999999999993</v>
      </c>
      <c r="B29" s="160"/>
      <c r="C29" s="120"/>
      <c r="D29" s="152"/>
      <c r="E29" s="152"/>
      <c r="F29" s="153"/>
      <c r="G29" s="154"/>
      <c r="H29" s="154"/>
      <c r="I29" s="48"/>
      <c r="J29" s="153"/>
      <c r="K29" s="153"/>
      <c r="L29" s="169"/>
      <c r="M29" s="169"/>
      <c r="N29" s="162"/>
      <c r="O29" s="169"/>
      <c r="P29" s="169"/>
      <c r="Q29" s="48"/>
      <c r="R29" s="419"/>
      <c r="S29" s="374"/>
      <c r="T29" s="375"/>
      <c r="U29" s="376"/>
      <c r="V29" s="277"/>
      <c r="W29" s="3"/>
    </row>
    <row r="30" spans="1:23" ht="29.25" customHeight="1" thickBot="1">
      <c r="A30" s="142"/>
      <c r="B30" s="143"/>
      <c r="C30" s="144" t="s">
        <v>5</v>
      </c>
      <c r="D30" s="145"/>
      <c r="E30" s="145"/>
      <c r="F30" s="173">
        <f>SUBTOTAL(109,Table13514520105[ค่าบริการรายเดือนตาม Package])</f>
        <v>18542.060000000001</v>
      </c>
      <c r="G30" s="146"/>
      <c r="H30" s="173">
        <f>SUBTOTAL(109,Table13514520105[รายการเบิก
คอมขายเพิ่มเติม
(เป้าตามกำหนด)
100-200%])</f>
        <v>0</v>
      </c>
      <c r="I30" s="173">
        <f>SUBTOTAL(109,Table13514520105[รายการเบิก
คอมขาย])</f>
        <v>18542.060000000001</v>
      </c>
      <c r="J30" s="173">
        <f>SUBTOTAL(109,Table13514520105[ค่าขายอุปกรณ์])</f>
        <v>0</v>
      </c>
      <c r="K30" s="173">
        <f>SUBTOTAL(109,Table13514520105[ต้นทุนค่าขายอุปกรณ์])</f>
        <v>0</v>
      </c>
      <c r="L30" s="173">
        <f>SUBTOTAL(109,Table13514520105[คอมฯอุปกรณ์
 5%])</f>
        <v>0</v>
      </c>
      <c r="M30" s="173">
        <f>SUBTOTAL(109,Table13514520105[คอมฯ อุปกรณ์
25%])</f>
        <v>0</v>
      </c>
      <c r="N30" s="173"/>
      <c r="O30" s="173"/>
      <c r="P30" s="173"/>
      <c r="Q30" s="173">
        <f>SUBTOTAL(109,Table13514520105[Total 
คอมฯค่าติดตั้ง/ค่าเชื่อมสัญญาณ])</f>
        <v>0</v>
      </c>
      <c r="R30" s="175">
        <f>SUBTOTAL(109,Table13514520105[รวมค่าคอมฯ])</f>
        <v>18542.060000000001</v>
      </c>
      <c r="S30" s="146">
        <f>SUBTOTAL(109,Table13514520105[เลขที่ใบกำกับ/ใบเสร็จรับเงิน])</f>
        <v>0</v>
      </c>
      <c r="T30" s="191">
        <f>SUBTOTAL(109,Table13514520105[เลขที่นำส่งเงิน
])</f>
        <v>0</v>
      </c>
      <c r="U30" s="185"/>
      <c r="V30" s="427"/>
      <c r="W30" s="3"/>
    </row>
    <row r="31" spans="1:23" ht="15.6">
      <c r="A31" s="21"/>
      <c r="B31" s="21"/>
      <c r="C31" s="22"/>
      <c r="D31" s="22"/>
      <c r="E31" s="22"/>
      <c r="F31" s="11"/>
      <c r="G31" s="26"/>
      <c r="H31" s="26"/>
      <c r="I31" s="11"/>
      <c r="J31" s="11"/>
      <c r="K31" s="11"/>
      <c r="L31" s="23"/>
      <c r="M31" s="23"/>
      <c r="N31" s="23"/>
      <c r="O31" s="23"/>
      <c r="P31" s="23"/>
      <c r="Q31" s="11"/>
      <c r="R31" s="11"/>
      <c r="S31" s="25"/>
      <c r="T31" s="24"/>
      <c r="U31" s="25"/>
      <c r="W31" s="25"/>
    </row>
    <row r="32" spans="1:23" ht="28.5" customHeight="1">
      <c r="L32" s="35"/>
      <c r="M32" s="35"/>
      <c r="N32" s="35"/>
      <c r="O32" s="35"/>
      <c r="P32" s="35"/>
      <c r="S32" s="27"/>
      <c r="U32" s="27"/>
    </row>
    <row r="33" spans="3:21" ht="28.5" customHeight="1">
      <c r="S33" s="4"/>
      <c r="U33" s="4"/>
    </row>
    <row r="34" spans="3:21" ht="28.5" hidden="1" customHeight="1">
      <c r="S34" s="28"/>
      <c r="T34" s="140"/>
      <c r="U34" s="28"/>
    </row>
    <row r="35" spans="3:21" ht="28.5" hidden="1" customHeight="1">
      <c r="S35" s="28"/>
      <c r="T35" s="140"/>
      <c r="U35" s="28"/>
    </row>
    <row r="36" spans="3:21" ht="15" hidden="1">
      <c r="C36" s="4"/>
      <c r="D36" s="35"/>
      <c r="E36" s="35"/>
    </row>
    <row r="37" spans="3:21" ht="15" hidden="1">
      <c r="C37" s="29"/>
      <c r="D37" s="36"/>
      <c r="E37" s="36"/>
    </row>
    <row r="38" spans="3:21" ht="15" hidden="1"/>
    <row r="49" ht="0" hidden="1" customHeight="1"/>
    <row r="50" ht="0" hidden="1" customHeight="1"/>
    <row r="51" ht="0" hidden="1" customHeight="1"/>
    <row r="166" spans="10:10" ht="15" hidden="1">
      <c r="J166" s="35">
        <v>3</v>
      </c>
    </row>
  </sheetData>
  <sheetProtection formatCells="0" insertRows="0" insertHyperlinks="0" deleteRows="0" sort="0" autoFilter="0" pivotTables="0"/>
  <phoneticPr fontId="20" type="noConversion"/>
  <dataValidations count="3">
    <dataValidation type="list" allowBlank="1" showInputMessage="1" showErrorMessage="1" sqref="JH65536:JH65565 TD65536:TD65565 ACZ65536:ACZ65565 AMV65536:AMV65565 AWR65536:AWR65565 BGN65536:BGN65565 BQJ65536:BQJ65565 CAF65536:CAF65565 CKB65536:CKB65565 CTX65536:CTX65565 DDT65536:DDT65565 DNP65536:DNP65565 DXL65536:DXL65565 EHH65536:EHH65565 ERD65536:ERD65565 FAZ65536:FAZ65565 FKV65536:FKV65565 FUR65536:FUR65565 GEN65536:GEN65565 GOJ65536:GOJ65565 GYF65536:GYF65565 HIB65536:HIB65565 HRX65536:HRX65565 IBT65536:IBT65565 ILP65536:ILP65565 IVL65536:IVL65565 JFH65536:JFH65565 JPD65536:JPD65565 JYZ65536:JYZ65565 KIV65536:KIV65565 KSR65536:KSR65565 LCN65536:LCN65565 LMJ65536:LMJ65565 LWF65536:LWF65565 MGB65536:MGB65565 MPX65536:MPX65565 MZT65536:MZT65565 NJP65536:NJP65565 NTL65536:NTL65565 ODH65536:ODH65565 OND65536:OND65565 OWZ65536:OWZ65565 PGV65536:PGV65565 PQR65536:PQR65565 QAN65536:QAN65565 QKJ65536:QKJ65565 QUF65536:QUF65565 REB65536:REB65565 RNX65536:RNX65565 RXT65536:RXT65565 SHP65536:SHP65565 SRL65536:SRL65565 TBH65536:TBH65565 TLD65536:TLD65565 TUZ65536:TUZ65565 UEV65536:UEV65565 UOR65536:UOR65565 UYN65536:UYN65565 VIJ65536:VIJ65565 VSF65536:VSF65565 WCB65536:WCB65565 WLX65536:WLX65565 WVT65536:WVT65565 JH131072:JH131101 TD131072:TD131101 ACZ131072:ACZ131101 AMV131072:AMV131101 AWR131072:AWR131101 BGN131072:BGN131101 BQJ131072:BQJ131101 CAF131072:CAF131101 CKB131072:CKB131101 CTX131072:CTX131101 DDT131072:DDT131101 DNP131072:DNP131101 DXL131072:DXL131101 EHH131072:EHH131101 ERD131072:ERD131101 FAZ131072:FAZ131101 FKV131072:FKV131101 FUR131072:FUR131101 GEN131072:GEN131101 GOJ131072:GOJ131101 GYF131072:GYF131101 HIB131072:HIB131101 HRX131072:HRX131101 IBT131072:IBT131101 ILP131072:ILP131101 IVL131072:IVL131101 JFH131072:JFH131101 JPD131072:JPD131101 JYZ131072:JYZ131101 KIV131072:KIV131101 KSR131072:KSR131101 LCN131072:LCN131101 LMJ131072:LMJ131101 LWF131072:LWF131101 MGB131072:MGB131101 MPX131072:MPX131101 MZT131072:MZT131101 NJP131072:NJP131101 NTL131072:NTL131101 ODH131072:ODH131101 OND131072:OND131101 OWZ131072:OWZ131101 PGV131072:PGV131101 PQR131072:PQR131101 QAN131072:QAN131101 QKJ131072:QKJ131101 QUF131072:QUF131101 REB131072:REB131101 RNX131072:RNX131101 RXT131072:RXT131101 SHP131072:SHP131101 SRL131072:SRL131101 TBH131072:TBH131101 TLD131072:TLD131101 TUZ131072:TUZ131101 UEV131072:UEV131101 UOR131072:UOR131101 UYN131072:UYN131101 VIJ131072:VIJ131101 VSF131072:VSF131101 WCB131072:WCB131101 WLX131072:WLX131101 WVT131072:WVT131101 JH196608:JH196637 TD196608:TD196637 ACZ196608:ACZ196637 AMV196608:AMV196637 AWR196608:AWR196637 BGN196608:BGN196637 BQJ196608:BQJ196637 CAF196608:CAF196637 CKB196608:CKB196637 CTX196608:CTX196637 DDT196608:DDT196637 DNP196608:DNP196637 DXL196608:DXL196637 EHH196608:EHH196637 ERD196608:ERD196637 FAZ196608:FAZ196637 FKV196608:FKV196637 FUR196608:FUR196637 GEN196608:GEN196637 GOJ196608:GOJ196637 GYF196608:GYF196637 HIB196608:HIB196637 HRX196608:HRX196637 IBT196608:IBT196637 ILP196608:ILP196637 IVL196608:IVL196637 JFH196608:JFH196637 JPD196608:JPD196637 JYZ196608:JYZ196637 KIV196608:KIV196637 KSR196608:KSR196637 LCN196608:LCN196637 LMJ196608:LMJ196637 LWF196608:LWF196637 MGB196608:MGB196637 MPX196608:MPX196637 MZT196608:MZT196637 NJP196608:NJP196637 NTL196608:NTL196637 ODH196608:ODH196637 OND196608:OND196637 OWZ196608:OWZ196637 PGV196608:PGV196637 PQR196608:PQR196637 QAN196608:QAN196637 QKJ196608:QKJ196637 QUF196608:QUF196637 REB196608:REB196637 RNX196608:RNX196637 RXT196608:RXT196637 SHP196608:SHP196637 SRL196608:SRL196637 TBH196608:TBH196637 TLD196608:TLD196637 TUZ196608:TUZ196637 UEV196608:UEV196637 UOR196608:UOR196637 UYN196608:UYN196637 VIJ196608:VIJ196637 VSF196608:VSF196637 WCB196608:WCB196637 WLX196608:WLX196637 WVT196608:WVT196637 JH262144:JH262173 TD262144:TD262173 ACZ262144:ACZ262173 AMV262144:AMV262173 AWR262144:AWR262173 BGN262144:BGN262173 BQJ262144:BQJ262173 CAF262144:CAF262173 CKB262144:CKB262173 CTX262144:CTX262173 DDT262144:DDT262173 DNP262144:DNP262173 DXL262144:DXL262173 EHH262144:EHH262173 ERD262144:ERD262173 FAZ262144:FAZ262173 FKV262144:FKV262173 FUR262144:FUR262173 GEN262144:GEN262173 GOJ262144:GOJ262173 GYF262144:GYF262173 HIB262144:HIB262173 HRX262144:HRX262173 IBT262144:IBT262173 ILP262144:ILP262173 IVL262144:IVL262173 JFH262144:JFH262173 JPD262144:JPD262173 JYZ262144:JYZ262173 KIV262144:KIV262173 KSR262144:KSR262173 LCN262144:LCN262173 LMJ262144:LMJ262173 LWF262144:LWF262173 MGB262144:MGB262173 MPX262144:MPX262173 MZT262144:MZT262173 NJP262144:NJP262173 NTL262144:NTL262173 ODH262144:ODH262173 OND262144:OND262173 OWZ262144:OWZ262173 PGV262144:PGV262173 PQR262144:PQR262173 QAN262144:QAN262173 QKJ262144:QKJ262173 QUF262144:QUF262173 REB262144:REB262173 RNX262144:RNX262173 RXT262144:RXT262173 SHP262144:SHP262173 SRL262144:SRL262173 TBH262144:TBH262173 TLD262144:TLD262173 TUZ262144:TUZ262173 UEV262144:UEV262173 UOR262144:UOR262173 UYN262144:UYN262173 VIJ262144:VIJ262173 VSF262144:VSF262173 WCB262144:WCB262173 WLX262144:WLX262173 WVT262144:WVT262173 JH327680:JH327709 TD327680:TD327709 ACZ327680:ACZ327709 AMV327680:AMV327709 AWR327680:AWR327709 BGN327680:BGN327709 BQJ327680:BQJ327709 CAF327680:CAF327709 CKB327680:CKB327709 CTX327680:CTX327709 DDT327680:DDT327709 DNP327680:DNP327709 DXL327680:DXL327709 EHH327680:EHH327709 ERD327680:ERD327709 FAZ327680:FAZ327709 FKV327680:FKV327709 FUR327680:FUR327709 GEN327680:GEN327709 GOJ327680:GOJ327709 GYF327680:GYF327709 HIB327680:HIB327709 HRX327680:HRX327709 IBT327680:IBT327709 ILP327680:ILP327709 IVL327680:IVL327709 JFH327680:JFH327709 JPD327680:JPD327709 JYZ327680:JYZ327709 KIV327680:KIV327709 KSR327680:KSR327709 LCN327680:LCN327709 LMJ327680:LMJ327709 LWF327680:LWF327709 MGB327680:MGB327709 MPX327680:MPX327709 MZT327680:MZT327709 NJP327680:NJP327709 NTL327680:NTL327709 ODH327680:ODH327709 OND327680:OND327709 OWZ327680:OWZ327709 PGV327680:PGV327709 PQR327680:PQR327709 QAN327680:QAN327709 QKJ327680:QKJ327709 QUF327680:QUF327709 REB327680:REB327709 RNX327680:RNX327709 RXT327680:RXT327709 SHP327680:SHP327709 SRL327680:SRL327709 TBH327680:TBH327709 TLD327680:TLD327709 TUZ327680:TUZ327709 UEV327680:UEV327709 UOR327680:UOR327709 UYN327680:UYN327709 VIJ327680:VIJ327709 VSF327680:VSF327709 WCB327680:WCB327709 WLX327680:WLX327709 WVT327680:WVT327709 JH393216:JH393245 TD393216:TD393245 ACZ393216:ACZ393245 AMV393216:AMV393245 AWR393216:AWR393245 BGN393216:BGN393245 BQJ393216:BQJ393245 CAF393216:CAF393245 CKB393216:CKB393245 CTX393216:CTX393245 DDT393216:DDT393245 DNP393216:DNP393245 DXL393216:DXL393245 EHH393216:EHH393245 ERD393216:ERD393245 FAZ393216:FAZ393245 FKV393216:FKV393245 FUR393216:FUR393245 GEN393216:GEN393245 GOJ393216:GOJ393245 GYF393216:GYF393245 HIB393216:HIB393245 HRX393216:HRX393245 IBT393216:IBT393245 ILP393216:ILP393245 IVL393216:IVL393245 JFH393216:JFH393245 JPD393216:JPD393245 JYZ393216:JYZ393245 KIV393216:KIV393245 KSR393216:KSR393245 LCN393216:LCN393245 LMJ393216:LMJ393245 LWF393216:LWF393245 MGB393216:MGB393245 MPX393216:MPX393245 MZT393216:MZT393245 NJP393216:NJP393245 NTL393216:NTL393245 ODH393216:ODH393245 OND393216:OND393245 OWZ393216:OWZ393245 PGV393216:PGV393245 PQR393216:PQR393245 QAN393216:QAN393245 QKJ393216:QKJ393245 QUF393216:QUF393245 REB393216:REB393245 RNX393216:RNX393245 RXT393216:RXT393245 SHP393216:SHP393245 SRL393216:SRL393245 TBH393216:TBH393245 TLD393216:TLD393245 TUZ393216:TUZ393245 UEV393216:UEV393245 UOR393216:UOR393245 UYN393216:UYN393245 VIJ393216:VIJ393245 VSF393216:VSF393245 WCB393216:WCB393245 WLX393216:WLX393245 WVT393216:WVT393245 JH458752:JH458781 TD458752:TD458781 ACZ458752:ACZ458781 AMV458752:AMV458781 AWR458752:AWR458781 BGN458752:BGN458781 BQJ458752:BQJ458781 CAF458752:CAF458781 CKB458752:CKB458781 CTX458752:CTX458781 DDT458752:DDT458781 DNP458752:DNP458781 DXL458752:DXL458781 EHH458752:EHH458781 ERD458752:ERD458781 FAZ458752:FAZ458781 FKV458752:FKV458781 FUR458752:FUR458781 GEN458752:GEN458781 GOJ458752:GOJ458781 GYF458752:GYF458781 HIB458752:HIB458781 HRX458752:HRX458781 IBT458752:IBT458781 ILP458752:ILP458781 IVL458752:IVL458781 JFH458752:JFH458781 JPD458752:JPD458781 JYZ458752:JYZ458781 KIV458752:KIV458781 KSR458752:KSR458781 LCN458752:LCN458781 LMJ458752:LMJ458781 LWF458752:LWF458781 MGB458752:MGB458781 MPX458752:MPX458781 MZT458752:MZT458781 NJP458752:NJP458781 NTL458752:NTL458781 ODH458752:ODH458781 OND458752:OND458781 OWZ458752:OWZ458781 PGV458752:PGV458781 PQR458752:PQR458781 QAN458752:QAN458781 QKJ458752:QKJ458781 QUF458752:QUF458781 REB458752:REB458781 RNX458752:RNX458781 RXT458752:RXT458781 SHP458752:SHP458781 SRL458752:SRL458781 TBH458752:TBH458781 TLD458752:TLD458781 TUZ458752:TUZ458781 UEV458752:UEV458781 UOR458752:UOR458781 UYN458752:UYN458781 VIJ458752:VIJ458781 VSF458752:VSF458781 WCB458752:WCB458781 WLX458752:WLX458781 WVT458752:WVT458781 JH524288:JH524317 TD524288:TD524317 ACZ524288:ACZ524317 AMV524288:AMV524317 AWR524288:AWR524317 BGN524288:BGN524317 BQJ524288:BQJ524317 CAF524288:CAF524317 CKB524288:CKB524317 CTX524288:CTX524317 DDT524288:DDT524317 DNP524288:DNP524317 DXL524288:DXL524317 EHH524288:EHH524317 ERD524288:ERD524317 FAZ524288:FAZ524317 FKV524288:FKV524317 FUR524288:FUR524317 GEN524288:GEN524317 GOJ524288:GOJ524317 GYF524288:GYF524317 HIB524288:HIB524317 HRX524288:HRX524317 IBT524288:IBT524317 ILP524288:ILP524317 IVL524288:IVL524317 JFH524288:JFH524317 JPD524288:JPD524317 JYZ524288:JYZ524317 KIV524288:KIV524317 KSR524288:KSR524317 LCN524288:LCN524317 LMJ524288:LMJ524317 LWF524288:LWF524317 MGB524288:MGB524317 MPX524288:MPX524317 MZT524288:MZT524317 NJP524288:NJP524317 NTL524288:NTL524317 ODH524288:ODH524317 OND524288:OND524317 OWZ524288:OWZ524317 PGV524288:PGV524317 PQR524288:PQR524317 QAN524288:QAN524317 QKJ524288:QKJ524317 QUF524288:QUF524317 REB524288:REB524317 RNX524288:RNX524317 RXT524288:RXT524317 SHP524288:SHP524317 SRL524288:SRL524317 TBH524288:TBH524317 TLD524288:TLD524317 TUZ524288:TUZ524317 UEV524288:UEV524317 UOR524288:UOR524317 UYN524288:UYN524317 VIJ524288:VIJ524317 VSF524288:VSF524317 WCB524288:WCB524317 WLX524288:WLX524317 WVT524288:WVT524317 JH589824:JH589853 TD589824:TD589853 ACZ589824:ACZ589853 AMV589824:AMV589853 AWR589824:AWR589853 BGN589824:BGN589853 BQJ589824:BQJ589853 CAF589824:CAF589853 CKB589824:CKB589853 CTX589824:CTX589853 DDT589824:DDT589853 DNP589824:DNP589853 DXL589824:DXL589853 EHH589824:EHH589853 ERD589824:ERD589853 FAZ589824:FAZ589853 FKV589824:FKV589853 FUR589824:FUR589853 GEN589824:GEN589853 GOJ589824:GOJ589853 GYF589824:GYF589853 HIB589824:HIB589853 HRX589824:HRX589853 IBT589824:IBT589853 ILP589824:ILP589853 IVL589824:IVL589853 JFH589824:JFH589853 JPD589824:JPD589853 JYZ589824:JYZ589853 KIV589824:KIV589853 KSR589824:KSR589853 LCN589824:LCN589853 LMJ589824:LMJ589853 LWF589824:LWF589853 MGB589824:MGB589853 MPX589824:MPX589853 MZT589824:MZT589853 NJP589824:NJP589853 NTL589824:NTL589853 ODH589824:ODH589853 OND589824:OND589853 OWZ589824:OWZ589853 PGV589824:PGV589853 PQR589824:PQR589853 QAN589824:QAN589853 QKJ589824:QKJ589853 QUF589824:QUF589853 REB589824:REB589853 RNX589824:RNX589853 RXT589824:RXT589853 SHP589824:SHP589853 SRL589824:SRL589853 TBH589824:TBH589853 TLD589824:TLD589853 TUZ589824:TUZ589853 UEV589824:UEV589853 UOR589824:UOR589853 UYN589824:UYN589853 VIJ589824:VIJ589853 VSF589824:VSF589853 WCB589824:WCB589853 WLX589824:WLX589853 WVT589824:WVT589853 JH655360:JH655389 TD655360:TD655389 ACZ655360:ACZ655389 AMV655360:AMV655389 AWR655360:AWR655389 BGN655360:BGN655389 BQJ655360:BQJ655389 CAF655360:CAF655389 CKB655360:CKB655389 CTX655360:CTX655389 DDT655360:DDT655389 DNP655360:DNP655389 DXL655360:DXL655389 EHH655360:EHH655389 ERD655360:ERD655389 FAZ655360:FAZ655389 FKV655360:FKV655389 FUR655360:FUR655389 GEN655360:GEN655389 GOJ655360:GOJ655389 GYF655360:GYF655389 HIB655360:HIB655389 HRX655360:HRX655389 IBT655360:IBT655389 ILP655360:ILP655389 IVL655360:IVL655389 JFH655360:JFH655389 JPD655360:JPD655389 JYZ655360:JYZ655389 KIV655360:KIV655389 KSR655360:KSR655389 LCN655360:LCN655389 LMJ655360:LMJ655389 LWF655360:LWF655389 MGB655360:MGB655389 MPX655360:MPX655389 MZT655360:MZT655389 NJP655360:NJP655389 NTL655360:NTL655389 ODH655360:ODH655389 OND655360:OND655389 OWZ655360:OWZ655389 PGV655360:PGV655389 PQR655360:PQR655389 QAN655360:QAN655389 QKJ655360:QKJ655389 QUF655360:QUF655389 REB655360:REB655389 RNX655360:RNX655389 RXT655360:RXT655389 SHP655360:SHP655389 SRL655360:SRL655389 TBH655360:TBH655389 TLD655360:TLD655389 TUZ655360:TUZ655389 UEV655360:UEV655389 UOR655360:UOR655389 UYN655360:UYN655389 VIJ655360:VIJ655389 VSF655360:VSF655389 WCB655360:WCB655389 WLX655360:WLX655389 WVT655360:WVT655389 JH720896:JH720925 TD720896:TD720925 ACZ720896:ACZ720925 AMV720896:AMV720925 AWR720896:AWR720925 BGN720896:BGN720925 BQJ720896:BQJ720925 CAF720896:CAF720925 CKB720896:CKB720925 CTX720896:CTX720925 DDT720896:DDT720925 DNP720896:DNP720925 DXL720896:DXL720925 EHH720896:EHH720925 ERD720896:ERD720925 FAZ720896:FAZ720925 FKV720896:FKV720925 FUR720896:FUR720925 GEN720896:GEN720925 GOJ720896:GOJ720925 GYF720896:GYF720925 HIB720896:HIB720925 HRX720896:HRX720925 IBT720896:IBT720925 ILP720896:ILP720925 IVL720896:IVL720925 JFH720896:JFH720925 JPD720896:JPD720925 JYZ720896:JYZ720925 KIV720896:KIV720925 KSR720896:KSR720925 LCN720896:LCN720925 LMJ720896:LMJ720925 LWF720896:LWF720925 MGB720896:MGB720925 MPX720896:MPX720925 MZT720896:MZT720925 NJP720896:NJP720925 NTL720896:NTL720925 ODH720896:ODH720925 OND720896:OND720925 OWZ720896:OWZ720925 PGV720896:PGV720925 PQR720896:PQR720925 QAN720896:QAN720925 QKJ720896:QKJ720925 QUF720896:QUF720925 REB720896:REB720925 RNX720896:RNX720925 RXT720896:RXT720925 SHP720896:SHP720925 SRL720896:SRL720925 TBH720896:TBH720925 TLD720896:TLD720925 TUZ720896:TUZ720925 UEV720896:UEV720925 UOR720896:UOR720925 UYN720896:UYN720925 VIJ720896:VIJ720925 VSF720896:VSF720925 WCB720896:WCB720925 WLX720896:WLX720925 WVT720896:WVT720925 JH786432:JH786461 TD786432:TD786461 ACZ786432:ACZ786461 AMV786432:AMV786461 AWR786432:AWR786461 BGN786432:BGN786461 BQJ786432:BQJ786461 CAF786432:CAF786461 CKB786432:CKB786461 CTX786432:CTX786461 DDT786432:DDT786461 DNP786432:DNP786461 DXL786432:DXL786461 EHH786432:EHH786461 ERD786432:ERD786461 FAZ786432:FAZ786461 FKV786432:FKV786461 FUR786432:FUR786461 GEN786432:GEN786461 GOJ786432:GOJ786461 GYF786432:GYF786461 HIB786432:HIB786461 HRX786432:HRX786461 IBT786432:IBT786461 ILP786432:ILP786461 IVL786432:IVL786461 JFH786432:JFH786461 JPD786432:JPD786461 JYZ786432:JYZ786461 KIV786432:KIV786461 KSR786432:KSR786461 LCN786432:LCN786461 LMJ786432:LMJ786461 LWF786432:LWF786461 MGB786432:MGB786461 MPX786432:MPX786461 MZT786432:MZT786461 NJP786432:NJP786461 NTL786432:NTL786461 ODH786432:ODH786461 OND786432:OND786461 OWZ786432:OWZ786461 PGV786432:PGV786461 PQR786432:PQR786461 QAN786432:QAN786461 QKJ786432:QKJ786461 QUF786432:QUF786461 REB786432:REB786461 RNX786432:RNX786461 RXT786432:RXT786461 SHP786432:SHP786461 SRL786432:SRL786461 TBH786432:TBH786461 TLD786432:TLD786461 TUZ786432:TUZ786461 UEV786432:UEV786461 UOR786432:UOR786461 UYN786432:UYN786461 VIJ786432:VIJ786461 VSF786432:VSF786461 WCB786432:WCB786461 WLX786432:WLX786461 WVT786432:WVT786461 JH851968:JH851997 TD851968:TD851997 ACZ851968:ACZ851997 AMV851968:AMV851997 AWR851968:AWR851997 BGN851968:BGN851997 BQJ851968:BQJ851997 CAF851968:CAF851997 CKB851968:CKB851997 CTX851968:CTX851997 DDT851968:DDT851997 DNP851968:DNP851997 DXL851968:DXL851997 EHH851968:EHH851997 ERD851968:ERD851997 FAZ851968:FAZ851997 FKV851968:FKV851997 FUR851968:FUR851997 GEN851968:GEN851997 GOJ851968:GOJ851997 GYF851968:GYF851997 HIB851968:HIB851997 HRX851968:HRX851997 IBT851968:IBT851997 ILP851968:ILP851997 IVL851968:IVL851997 JFH851968:JFH851997 JPD851968:JPD851997 JYZ851968:JYZ851997 KIV851968:KIV851997 KSR851968:KSR851997 LCN851968:LCN851997 LMJ851968:LMJ851997 LWF851968:LWF851997 MGB851968:MGB851997 MPX851968:MPX851997 MZT851968:MZT851997 NJP851968:NJP851997 NTL851968:NTL851997 ODH851968:ODH851997 OND851968:OND851997 OWZ851968:OWZ851997 PGV851968:PGV851997 PQR851968:PQR851997 QAN851968:QAN851997 QKJ851968:QKJ851997 QUF851968:QUF851997 REB851968:REB851997 RNX851968:RNX851997 RXT851968:RXT851997 SHP851968:SHP851997 SRL851968:SRL851997 TBH851968:TBH851997 TLD851968:TLD851997 TUZ851968:TUZ851997 UEV851968:UEV851997 UOR851968:UOR851997 UYN851968:UYN851997 VIJ851968:VIJ851997 VSF851968:VSF851997 WCB851968:WCB851997 WLX851968:WLX851997 WVT851968:WVT851997 JH917504:JH917533 TD917504:TD917533 ACZ917504:ACZ917533 AMV917504:AMV917533 AWR917504:AWR917533 BGN917504:BGN917533 BQJ917504:BQJ917533 CAF917504:CAF917533 CKB917504:CKB917533 CTX917504:CTX917533 DDT917504:DDT917533 DNP917504:DNP917533 DXL917504:DXL917533 EHH917504:EHH917533 ERD917504:ERD917533 FAZ917504:FAZ917533 FKV917504:FKV917533 FUR917504:FUR917533 GEN917504:GEN917533 GOJ917504:GOJ917533 GYF917504:GYF917533 HIB917504:HIB917533 HRX917504:HRX917533 IBT917504:IBT917533 ILP917504:ILP917533 IVL917504:IVL917533 JFH917504:JFH917533 JPD917504:JPD917533 JYZ917504:JYZ917533 KIV917504:KIV917533 KSR917504:KSR917533 LCN917504:LCN917533 LMJ917504:LMJ917533 LWF917504:LWF917533 MGB917504:MGB917533 MPX917504:MPX917533 MZT917504:MZT917533 NJP917504:NJP917533 NTL917504:NTL917533 ODH917504:ODH917533 OND917504:OND917533 OWZ917504:OWZ917533 PGV917504:PGV917533 PQR917504:PQR917533 QAN917504:QAN917533 QKJ917504:QKJ917533 QUF917504:QUF917533 REB917504:REB917533 RNX917504:RNX917533 RXT917504:RXT917533 SHP917504:SHP917533 SRL917504:SRL917533 TBH917504:TBH917533 TLD917504:TLD917533 TUZ917504:TUZ917533 UEV917504:UEV917533 UOR917504:UOR917533 UYN917504:UYN917533 VIJ917504:VIJ917533 VSF917504:VSF917533 WCB917504:WCB917533 WLX917504:WLX917533 WVT917504:WVT917533 JH983040:JH983069 TD983040:TD983069 ACZ983040:ACZ983069 AMV983040:AMV983069 AWR983040:AWR983069 BGN983040:BGN983069 BQJ983040:BQJ983069 CAF983040:CAF983069 CKB983040:CKB983069 CTX983040:CTX983069 DDT983040:DDT983069 DNP983040:DNP983069 DXL983040:DXL983069 EHH983040:EHH983069 ERD983040:ERD983069 FAZ983040:FAZ983069 FKV983040:FKV983069 FUR983040:FUR983069 GEN983040:GEN983069 GOJ983040:GOJ983069 GYF983040:GYF983069 HIB983040:HIB983069 HRX983040:HRX983069 IBT983040:IBT983069 ILP983040:ILP983069 IVL983040:IVL983069 JFH983040:JFH983069 JPD983040:JPD983069 JYZ983040:JYZ983069 KIV983040:KIV983069 KSR983040:KSR983069 LCN983040:LCN983069 LMJ983040:LMJ983069 LWF983040:LWF983069 MGB983040:MGB983069 MPX983040:MPX983069 MZT983040:MZT983069 NJP983040:NJP983069 NTL983040:NTL983069 ODH983040:ODH983069 OND983040:OND983069 OWZ983040:OWZ983069 PGV983040:PGV983069 PQR983040:PQR983069 QAN983040:QAN983069 QKJ983040:QKJ983069 QUF983040:QUF983069 REB983040:REB983069 RNX983040:RNX983069 RXT983040:RXT983069 SHP983040:SHP983069 SRL983040:SRL983069 TBH983040:TBH983069 TLD983040:TLD983069 TUZ983040:TUZ983069 UEV983040:UEV983069 UOR983040:UOR983069 UYN983040:UYN983069 VIJ983040:VIJ983069 VSF983040:VSF983069 WCB983040:WCB983069 WLX983040:WLX983069 WVT983040:WVT983069 JD6:JD29 SZ6:SZ29 ACV6:ACV29 AMR6:AMR29 AWN6:AWN29 BGJ6:BGJ29 BQF6:BQF29 CAB6:CAB29 CJX6:CJX29 CTT6:CTT29 DDP6:DDP29 DNL6:DNL29 DXH6:DXH29 EHD6:EHD29 EQZ6:EQZ29 FAV6:FAV29 FKR6:FKR29 FUN6:FUN29 GEJ6:GEJ29 GOF6:GOF29 GYB6:GYB29 HHX6:HHX29 HRT6:HRT29 IBP6:IBP29 ILL6:ILL29 IVH6:IVH29 JFD6:JFD29 JOZ6:JOZ29 JYV6:JYV29 KIR6:KIR29 KSN6:KSN29 LCJ6:LCJ29 LMF6:LMF29 LWB6:LWB29 MFX6:MFX29 MPT6:MPT29 MZP6:MZP29 NJL6:NJL29 NTH6:NTH29 ODD6:ODD29 OMZ6:OMZ29 OWV6:OWV29 PGR6:PGR29 PQN6:PQN29 QAJ6:QAJ29 QKF6:QKF29 QUB6:QUB29 RDX6:RDX29 RNT6:RNT29 RXP6:RXP29 SHL6:SHL29 SRH6:SRH29 TBD6:TBD29 TKZ6:TKZ29 TUV6:TUV29 UER6:UER29 UON6:UON29 UYJ6:UYJ29 VIF6:VIF29 VSB6:VSB29 WBX6:WBX29 WLT6:WLT29 WVP6:WVP29" xr:uid="{83C497BE-C8D6-4AC4-BC4B-61BD16D3D6A2}">
      <formula1>"จันทราภรณ์, รัฏฏิการ์, คชเขม, มาร์ค,สมเด็"</formula1>
    </dataValidation>
    <dataValidation type="list" allowBlank="1" showInputMessage="1" showErrorMessage="1" sqref="WVU983040:WVU983069 JI65536:JI65565 TE65536:TE65565 ADA65536:ADA65565 AMW65536:AMW65565 AWS65536:AWS65565 BGO65536:BGO65565 BQK65536:BQK65565 CAG65536:CAG65565 CKC65536:CKC65565 CTY65536:CTY65565 DDU65536:DDU65565 DNQ65536:DNQ65565 DXM65536:DXM65565 EHI65536:EHI65565 ERE65536:ERE65565 FBA65536:FBA65565 FKW65536:FKW65565 FUS65536:FUS65565 GEO65536:GEO65565 GOK65536:GOK65565 GYG65536:GYG65565 HIC65536:HIC65565 HRY65536:HRY65565 IBU65536:IBU65565 ILQ65536:ILQ65565 IVM65536:IVM65565 JFI65536:JFI65565 JPE65536:JPE65565 JZA65536:JZA65565 KIW65536:KIW65565 KSS65536:KSS65565 LCO65536:LCO65565 LMK65536:LMK65565 LWG65536:LWG65565 MGC65536:MGC65565 MPY65536:MPY65565 MZU65536:MZU65565 NJQ65536:NJQ65565 NTM65536:NTM65565 ODI65536:ODI65565 ONE65536:ONE65565 OXA65536:OXA65565 PGW65536:PGW65565 PQS65536:PQS65565 QAO65536:QAO65565 QKK65536:QKK65565 QUG65536:QUG65565 REC65536:REC65565 RNY65536:RNY65565 RXU65536:RXU65565 SHQ65536:SHQ65565 SRM65536:SRM65565 TBI65536:TBI65565 TLE65536:TLE65565 TVA65536:TVA65565 UEW65536:UEW65565 UOS65536:UOS65565 UYO65536:UYO65565 VIK65536:VIK65565 VSG65536:VSG65565 WCC65536:WCC65565 WLY65536:WLY65565 WVU65536:WVU65565 JI131072:JI131101 TE131072:TE131101 ADA131072:ADA131101 AMW131072:AMW131101 AWS131072:AWS131101 BGO131072:BGO131101 BQK131072:BQK131101 CAG131072:CAG131101 CKC131072:CKC131101 CTY131072:CTY131101 DDU131072:DDU131101 DNQ131072:DNQ131101 DXM131072:DXM131101 EHI131072:EHI131101 ERE131072:ERE131101 FBA131072:FBA131101 FKW131072:FKW131101 FUS131072:FUS131101 GEO131072:GEO131101 GOK131072:GOK131101 GYG131072:GYG131101 HIC131072:HIC131101 HRY131072:HRY131101 IBU131072:IBU131101 ILQ131072:ILQ131101 IVM131072:IVM131101 JFI131072:JFI131101 JPE131072:JPE131101 JZA131072:JZA131101 KIW131072:KIW131101 KSS131072:KSS131101 LCO131072:LCO131101 LMK131072:LMK131101 LWG131072:LWG131101 MGC131072:MGC131101 MPY131072:MPY131101 MZU131072:MZU131101 NJQ131072:NJQ131101 NTM131072:NTM131101 ODI131072:ODI131101 ONE131072:ONE131101 OXA131072:OXA131101 PGW131072:PGW131101 PQS131072:PQS131101 QAO131072:QAO131101 QKK131072:QKK131101 QUG131072:QUG131101 REC131072:REC131101 RNY131072:RNY131101 RXU131072:RXU131101 SHQ131072:SHQ131101 SRM131072:SRM131101 TBI131072:TBI131101 TLE131072:TLE131101 TVA131072:TVA131101 UEW131072:UEW131101 UOS131072:UOS131101 UYO131072:UYO131101 VIK131072:VIK131101 VSG131072:VSG131101 WCC131072:WCC131101 WLY131072:WLY131101 WVU131072:WVU131101 JI196608:JI196637 TE196608:TE196637 ADA196608:ADA196637 AMW196608:AMW196637 AWS196608:AWS196637 BGO196608:BGO196637 BQK196608:BQK196637 CAG196608:CAG196637 CKC196608:CKC196637 CTY196608:CTY196637 DDU196608:DDU196637 DNQ196608:DNQ196637 DXM196608:DXM196637 EHI196608:EHI196637 ERE196608:ERE196637 FBA196608:FBA196637 FKW196608:FKW196637 FUS196608:FUS196637 GEO196608:GEO196637 GOK196608:GOK196637 GYG196608:GYG196637 HIC196608:HIC196637 HRY196608:HRY196637 IBU196608:IBU196637 ILQ196608:ILQ196637 IVM196608:IVM196637 JFI196608:JFI196637 JPE196608:JPE196637 JZA196608:JZA196637 KIW196608:KIW196637 KSS196608:KSS196637 LCO196608:LCO196637 LMK196608:LMK196637 LWG196608:LWG196637 MGC196608:MGC196637 MPY196608:MPY196637 MZU196608:MZU196637 NJQ196608:NJQ196637 NTM196608:NTM196637 ODI196608:ODI196637 ONE196608:ONE196637 OXA196608:OXA196637 PGW196608:PGW196637 PQS196608:PQS196637 QAO196608:QAO196637 QKK196608:QKK196637 QUG196608:QUG196637 REC196608:REC196637 RNY196608:RNY196637 RXU196608:RXU196637 SHQ196608:SHQ196637 SRM196608:SRM196637 TBI196608:TBI196637 TLE196608:TLE196637 TVA196608:TVA196637 UEW196608:UEW196637 UOS196608:UOS196637 UYO196608:UYO196637 VIK196608:VIK196637 VSG196608:VSG196637 WCC196608:WCC196637 WLY196608:WLY196637 WVU196608:WVU196637 JI262144:JI262173 TE262144:TE262173 ADA262144:ADA262173 AMW262144:AMW262173 AWS262144:AWS262173 BGO262144:BGO262173 BQK262144:BQK262173 CAG262144:CAG262173 CKC262144:CKC262173 CTY262144:CTY262173 DDU262144:DDU262173 DNQ262144:DNQ262173 DXM262144:DXM262173 EHI262144:EHI262173 ERE262144:ERE262173 FBA262144:FBA262173 FKW262144:FKW262173 FUS262144:FUS262173 GEO262144:GEO262173 GOK262144:GOK262173 GYG262144:GYG262173 HIC262144:HIC262173 HRY262144:HRY262173 IBU262144:IBU262173 ILQ262144:ILQ262173 IVM262144:IVM262173 JFI262144:JFI262173 JPE262144:JPE262173 JZA262144:JZA262173 KIW262144:KIW262173 KSS262144:KSS262173 LCO262144:LCO262173 LMK262144:LMK262173 LWG262144:LWG262173 MGC262144:MGC262173 MPY262144:MPY262173 MZU262144:MZU262173 NJQ262144:NJQ262173 NTM262144:NTM262173 ODI262144:ODI262173 ONE262144:ONE262173 OXA262144:OXA262173 PGW262144:PGW262173 PQS262144:PQS262173 QAO262144:QAO262173 QKK262144:QKK262173 QUG262144:QUG262173 REC262144:REC262173 RNY262144:RNY262173 RXU262144:RXU262173 SHQ262144:SHQ262173 SRM262144:SRM262173 TBI262144:TBI262173 TLE262144:TLE262173 TVA262144:TVA262173 UEW262144:UEW262173 UOS262144:UOS262173 UYO262144:UYO262173 VIK262144:VIK262173 VSG262144:VSG262173 WCC262144:WCC262173 WLY262144:WLY262173 WVU262144:WVU262173 JI327680:JI327709 TE327680:TE327709 ADA327680:ADA327709 AMW327680:AMW327709 AWS327680:AWS327709 BGO327680:BGO327709 BQK327680:BQK327709 CAG327680:CAG327709 CKC327680:CKC327709 CTY327680:CTY327709 DDU327680:DDU327709 DNQ327680:DNQ327709 DXM327680:DXM327709 EHI327680:EHI327709 ERE327680:ERE327709 FBA327680:FBA327709 FKW327680:FKW327709 FUS327680:FUS327709 GEO327680:GEO327709 GOK327680:GOK327709 GYG327680:GYG327709 HIC327680:HIC327709 HRY327680:HRY327709 IBU327680:IBU327709 ILQ327680:ILQ327709 IVM327680:IVM327709 JFI327680:JFI327709 JPE327680:JPE327709 JZA327680:JZA327709 KIW327680:KIW327709 KSS327680:KSS327709 LCO327680:LCO327709 LMK327680:LMK327709 LWG327680:LWG327709 MGC327680:MGC327709 MPY327680:MPY327709 MZU327680:MZU327709 NJQ327680:NJQ327709 NTM327680:NTM327709 ODI327680:ODI327709 ONE327680:ONE327709 OXA327680:OXA327709 PGW327680:PGW327709 PQS327680:PQS327709 QAO327680:QAO327709 QKK327680:QKK327709 QUG327680:QUG327709 REC327680:REC327709 RNY327680:RNY327709 RXU327680:RXU327709 SHQ327680:SHQ327709 SRM327680:SRM327709 TBI327680:TBI327709 TLE327680:TLE327709 TVA327680:TVA327709 UEW327680:UEW327709 UOS327680:UOS327709 UYO327680:UYO327709 VIK327680:VIK327709 VSG327680:VSG327709 WCC327680:WCC327709 WLY327680:WLY327709 WVU327680:WVU327709 JI393216:JI393245 TE393216:TE393245 ADA393216:ADA393245 AMW393216:AMW393245 AWS393216:AWS393245 BGO393216:BGO393245 BQK393216:BQK393245 CAG393216:CAG393245 CKC393216:CKC393245 CTY393216:CTY393245 DDU393216:DDU393245 DNQ393216:DNQ393245 DXM393216:DXM393245 EHI393216:EHI393245 ERE393216:ERE393245 FBA393216:FBA393245 FKW393216:FKW393245 FUS393216:FUS393245 GEO393216:GEO393245 GOK393216:GOK393245 GYG393216:GYG393245 HIC393216:HIC393245 HRY393216:HRY393245 IBU393216:IBU393245 ILQ393216:ILQ393245 IVM393216:IVM393245 JFI393216:JFI393245 JPE393216:JPE393245 JZA393216:JZA393245 KIW393216:KIW393245 KSS393216:KSS393245 LCO393216:LCO393245 LMK393216:LMK393245 LWG393216:LWG393245 MGC393216:MGC393245 MPY393216:MPY393245 MZU393216:MZU393245 NJQ393216:NJQ393245 NTM393216:NTM393245 ODI393216:ODI393245 ONE393216:ONE393245 OXA393216:OXA393245 PGW393216:PGW393245 PQS393216:PQS393245 QAO393216:QAO393245 QKK393216:QKK393245 QUG393216:QUG393245 REC393216:REC393245 RNY393216:RNY393245 RXU393216:RXU393245 SHQ393216:SHQ393245 SRM393216:SRM393245 TBI393216:TBI393245 TLE393216:TLE393245 TVA393216:TVA393245 UEW393216:UEW393245 UOS393216:UOS393245 UYO393216:UYO393245 VIK393216:VIK393245 VSG393216:VSG393245 WCC393216:WCC393245 WLY393216:WLY393245 WVU393216:WVU393245 JI458752:JI458781 TE458752:TE458781 ADA458752:ADA458781 AMW458752:AMW458781 AWS458752:AWS458781 BGO458752:BGO458781 BQK458752:BQK458781 CAG458752:CAG458781 CKC458752:CKC458781 CTY458752:CTY458781 DDU458752:DDU458781 DNQ458752:DNQ458781 DXM458752:DXM458781 EHI458752:EHI458781 ERE458752:ERE458781 FBA458752:FBA458781 FKW458752:FKW458781 FUS458752:FUS458781 GEO458752:GEO458781 GOK458752:GOK458781 GYG458752:GYG458781 HIC458752:HIC458781 HRY458752:HRY458781 IBU458752:IBU458781 ILQ458752:ILQ458781 IVM458752:IVM458781 JFI458752:JFI458781 JPE458752:JPE458781 JZA458752:JZA458781 KIW458752:KIW458781 KSS458752:KSS458781 LCO458752:LCO458781 LMK458752:LMK458781 LWG458752:LWG458781 MGC458752:MGC458781 MPY458752:MPY458781 MZU458752:MZU458781 NJQ458752:NJQ458781 NTM458752:NTM458781 ODI458752:ODI458781 ONE458752:ONE458781 OXA458752:OXA458781 PGW458752:PGW458781 PQS458752:PQS458781 QAO458752:QAO458781 QKK458752:QKK458781 QUG458752:QUG458781 REC458752:REC458781 RNY458752:RNY458781 RXU458752:RXU458781 SHQ458752:SHQ458781 SRM458752:SRM458781 TBI458752:TBI458781 TLE458752:TLE458781 TVA458752:TVA458781 UEW458752:UEW458781 UOS458752:UOS458781 UYO458752:UYO458781 VIK458752:VIK458781 VSG458752:VSG458781 WCC458752:WCC458781 WLY458752:WLY458781 WVU458752:WVU458781 JI524288:JI524317 TE524288:TE524317 ADA524288:ADA524317 AMW524288:AMW524317 AWS524288:AWS524317 BGO524288:BGO524317 BQK524288:BQK524317 CAG524288:CAG524317 CKC524288:CKC524317 CTY524288:CTY524317 DDU524288:DDU524317 DNQ524288:DNQ524317 DXM524288:DXM524317 EHI524288:EHI524317 ERE524288:ERE524317 FBA524288:FBA524317 FKW524288:FKW524317 FUS524288:FUS524317 GEO524288:GEO524317 GOK524288:GOK524317 GYG524288:GYG524317 HIC524288:HIC524317 HRY524288:HRY524317 IBU524288:IBU524317 ILQ524288:ILQ524317 IVM524288:IVM524317 JFI524288:JFI524317 JPE524288:JPE524317 JZA524288:JZA524317 KIW524288:KIW524317 KSS524288:KSS524317 LCO524288:LCO524317 LMK524288:LMK524317 LWG524288:LWG524317 MGC524288:MGC524317 MPY524288:MPY524317 MZU524288:MZU524317 NJQ524288:NJQ524317 NTM524288:NTM524317 ODI524288:ODI524317 ONE524288:ONE524317 OXA524288:OXA524317 PGW524288:PGW524317 PQS524288:PQS524317 QAO524288:QAO524317 QKK524288:QKK524317 QUG524288:QUG524317 REC524288:REC524317 RNY524288:RNY524317 RXU524288:RXU524317 SHQ524288:SHQ524317 SRM524288:SRM524317 TBI524288:TBI524317 TLE524288:TLE524317 TVA524288:TVA524317 UEW524288:UEW524317 UOS524288:UOS524317 UYO524288:UYO524317 VIK524288:VIK524317 VSG524288:VSG524317 WCC524288:WCC524317 WLY524288:WLY524317 WVU524288:WVU524317 JI589824:JI589853 TE589824:TE589853 ADA589824:ADA589853 AMW589824:AMW589853 AWS589824:AWS589853 BGO589824:BGO589853 BQK589824:BQK589853 CAG589824:CAG589853 CKC589824:CKC589853 CTY589824:CTY589853 DDU589824:DDU589853 DNQ589824:DNQ589853 DXM589824:DXM589853 EHI589824:EHI589853 ERE589824:ERE589853 FBA589824:FBA589853 FKW589824:FKW589853 FUS589824:FUS589853 GEO589824:GEO589853 GOK589824:GOK589853 GYG589824:GYG589853 HIC589824:HIC589853 HRY589824:HRY589853 IBU589824:IBU589853 ILQ589824:ILQ589853 IVM589824:IVM589853 JFI589824:JFI589853 JPE589824:JPE589853 JZA589824:JZA589853 KIW589824:KIW589853 KSS589824:KSS589853 LCO589824:LCO589853 LMK589824:LMK589853 LWG589824:LWG589853 MGC589824:MGC589853 MPY589824:MPY589853 MZU589824:MZU589853 NJQ589824:NJQ589853 NTM589824:NTM589853 ODI589824:ODI589853 ONE589824:ONE589853 OXA589824:OXA589853 PGW589824:PGW589853 PQS589824:PQS589853 QAO589824:QAO589853 QKK589824:QKK589853 QUG589824:QUG589853 REC589824:REC589853 RNY589824:RNY589853 RXU589824:RXU589853 SHQ589824:SHQ589853 SRM589824:SRM589853 TBI589824:TBI589853 TLE589824:TLE589853 TVA589824:TVA589853 UEW589824:UEW589853 UOS589824:UOS589853 UYO589824:UYO589853 VIK589824:VIK589853 VSG589824:VSG589853 WCC589824:WCC589853 WLY589824:WLY589853 WVU589824:WVU589853 JI655360:JI655389 TE655360:TE655389 ADA655360:ADA655389 AMW655360:AMW655389 AWS655360:AWS655389 BGO655360:BGO655389 BQK655360:BQK655389 CAG655360:CAG655389 CKC655360:CKC655389 CTY655360:CTY655389 DDU655360:DDU655389 DNQ655360:DNQ655389 DXM655360:DXM655389 EHI655360:EHI655389 ERE655360:ERE655389 FBA655360:FBA655389 FKW655360:FKW655389 FUS655360:FUS655389 GEO655360:GEO655389 GOK655360:GOK655389 GYG655360:GYG655389 HIC655360:HIC655389 HRY655360:HRY655389 IBU655360:IBU655389 ILQ655360:ILQ655389 IVM655360:IVM655389 JFI655360:JFI655389 JPE655360:JPE655389 JZA655360:JZA655389 KIW655360:KIW655389 KSS655360:KSS655389 LCO655360:LCO655389 LMK655360:LMK655389 LWG655360:LWG655389 MGC655360:MGC655389 MPY655360:MPY655389 MZU655360:MZU655389 NJQ655360:NJQ655389 NTM655360:NTM655389 ODI655360:ODI655389 ONE655360:ONE655389 OXA655360:OXA655389 PGW655360:PGW655389 PQS655360:PQS655389 QAO655360:QAO655389 QKK655360:QKK655389 QUG655360:QUG655389 REC655360:REC655389 RNY655360:RNY655389 RXU655360:RXU655389 SHQ655360:SHQ655389 SRM655360:SRM655389 TBI655360:TBI655389 TLE655360:TLE655389 TVA655360:TVA655389 UEW655360:UEW655389 UOS655360:UOS655389 UYO655360:UYO655389 VIK655360:VIK655389 VSG655360:VSG655389 WCC655360:WCC655389 WLY655360:WLY655389 WVU655360:WVU655389 JI720896:JI720925 TE720896:TE720925 ADA720896:ADA720925 AMW720896:AMW720925 AWS720896:AWS720925 BGO720896:BGO720925 BQK720896:BQK720925 CAG720896:CAG720925 CKC720896:CKC720925 CTY720896:CTY720925 DDU720896:DDU720925 DNQ720896:DNQ720925 DXM720896:DXM720925 EHI720896:EHI720925 ERE720896:ERE720925 FBA720896:FBA720925 FKW720896:FKW720925 FUS720896:FUS720925 GEO720896:GEO720925 GOK720896:GOK720925 GYG720896:GYG720925 HIC720896:HIC720925 HRY720896:HRY720925 IBU720896:IBU720925 ILQ720896:ILQ720925 IVM720896:IVM720925 JFI720896:JFI720925 JPE720896:JPE720925 JZA720896:JZA720925 KIW720896:KIW720925 KSS720896:KSS720925 LCO720896:LCO720925 LMK720896:LMK720925 LWG720896:LWG720925 MGC720896:MGC720925 MPY720896:MPY720925 MZU720896:MZU720925 NJQ720896:NJQ720925 NTM720896:NTM720925 ODI720896:ODI720925 ONE720896:ONE720925 OXA720896:OXA720925 PGW720896:PGW720925 PQS720896:PQS720925 QAO720896:QAO720925 QKK720896:QKK720925 QUG720896:QUG720925 REC720896:REC720925 RNY720896:RNY720925 RXU720896:RXU720925 SHQ720896:SHQ720925 SRM720896:SRM720925 TBI720896:TBI720925 TLE720896:TLE720925 TVA720896:TVA720925 UEW720896:UEW720925 UOS720896:UOS720925 UYO720896:UYO720925 VIK720896:VIK720925 VSG720896:VSG720925 WCC720896:WCC720925 WLY720896:WLY720925 WVU720896:WVU720925 JI786432:JI786461 TE786432:TE786461 ADA786432:ADA786461 AMW786432:AMW786461 AWS786432:AWS786461 BGO786432:BGO786461 BQK786432:BQK786461 CAG786432:CAG786461 CKC786432:CKC786461 CTY786432:CTY786461 DDU786432:DDU786461 DNQ786432:DNQ786461 DXM786432:DXM786461 EHI786432:EHI786461 ERE786432:ERE786461 FBA786432:FBA786461 FKW786432:FKW786461 FUS786432:FUS786461 GEO786432:GEO786461 GOK786432:GOK786461 GYG786432:GYG786461 HIC786432:HIC786461 HRY786432:HRY786461 IBU786432:IBU786461 ILQ786432:ILQ786461 IVM786432:IVM786461 JFI786432:JFI786461 JPE786432:JPE786461 JZA786432:JZA786461 KIW786432:KIW786461 KSS786432:KSS786461 LCO786432:LCO786461 LMK786432:LMK786461 LWG786432:LWG786461 MGC786432:MGC786461 MPY786432:MPY786461 MZU786432:MZU786461 NJQ786432:NJQ786461 NTM786432:NTM786461 ODI786432:ODI786461 ONE786432:ONE786461 OXA786432:OXA786461 PGW786432:PGW786461 PQS786432:PQS786461 QAO786432:QAO786461 QKK786432:QKK786461 QUG786432:QUG786461 REC786432:REC786461 RNY786432:RNY786461 RXU786432:RXU786461 SHQ786432:SHQ786461 SRM786432:SRM786461 TBI786432:TBI786461 TLE786432:TLE786461 TVA786432:TVA786461 UEW786432:UEW786461 UOS786432:UOS786461 UYO786432:UYO786461 VIK786432:VIK786461 VSG786432:VSG786461 WCC786432:WCC786461 WLY786432:WLY786461 WVU786432:WVU786461 JI851968:JI851997 TE851968:TE851997 ADA851968:ADA851997 AMW851968:AMW851997 AWS851968:AWS851997 BGO851968:BGO851997 BQK851968:BQK851997 CAG851968:CAG851997 CKC851968:CKC851997 CTY851968:CTY851997 DDU851968:DDU851997 DNQ851968:DNQ851997 DXM851968:DXM851997 EHI851968:EHI851997 ERE851968:ERE851997 FBA851968:FBA851997 FKW851968:FKW851997 FUS851968:FUS851997 GEO851968:GEO851997 GOK851968:GOK851997 GYG851968:GYG851997 HIC851968:HIC851997 HRY851968:HRY851997 IBU851968:IBU851997 ILQ851968:ILQ851997 IVM851968:IVM851997 JFI851968:JFI851997 JPE851968:JPE851997 JZA851968:JZA851997 KIW851968:KIW851997 KSS851968:KSS851997 LCO851968:LCO851997 LMK851968:LMK851997 LWG851968:LWG851997 MGC851968:MGC851997 MPY851968:MPY851997 MZU851968:MZU851997 NJQ851968:NJQ851997 NTM851968:NTM851997 ODI851968:ODI851997 ONE851968:ONE851997 OXA851968:OXA851997 PGW851968:PGW851997 PQS851968:PQS851997 QAO851968:QAO851997 QKK851968:QKK851997 QUG851968:QUG851997 REC851968:REC851997 RNY851968:RNY851997 RXU851968:RXU851997 SHQ851968:SHQ851997 SRM851968:SRM851997 TBI851968:TBI851997 TLE851968:TLE851997 TVA851968:TVA851997 UEW851968:UEW851997 UOS851968:UOS851997 UYO851968:UYO851997 VIK851968:VIK851997 VSG851968:VSG851997 WCC851968:WCC851997 WLY851968:WLY851997 WVU851968:WVU851997 JI917504:JI917533 TE917504:TE917533 ADA917504:ADA917533 AMW917504:AMW917533 AWS917504:AWS917533 BGO917504:BGO917533 BQK917504:BQK917533 CAG917504:CAG917533 CKC917504:CKC917533 CTY917504:CTY917533 DDU917504:DDU917533 DNQ917504:DNQ917533 DXM917504:DXM917533 EHI917504:EHI917533 ERE917504:ERE917533 FBA917504:FBA917533 FKW917504:FKW917533 FUS917504:FUS917533 GEO917504:GEO917533 GOK917504:GOK917533 GYG917504:GYG917533 HIC917504:HIC917533 HRY917504:HRY917533 IBU917504:IBU917533 ILQ917504:ILQ917533 IVM917504:IVM917533 JFI917504:JFI917533 JPE917504:JPE917533 JZA917504:JZA917533 KIW917504:KIW917533 KSS917504:KSS917533 LCO917504:LCO917533 LMK917504:LMK917533 LWG917504:LWG917533 MGC917504:MGC917533 MPY917504:MPY917533 MZU917504:MZU917533 NJQ917504:NJQ917533 NTM917504:NTM917533 ODI917504:ODI917533 ONE917504:ONE917533 OXA917504:OXA917533 PGW917504:PGW917533 PQS917504:PQS917533 QAO917504:QAO917533 QKK917504:QKK917533 QUG917504:QUG917533 REC917504:REC917533 RNY917504:RNY917533 RXU917504:RXU917533 SHQ917504:SHQ917533 SRM917504:SRM917533 TBI917504:TBI917533 TLE917504:TLE917533 TVA917504:TVA917533 UEW917504:UEW917533 UOS917504:UOS917533 UYO917504:UYO917533 VIK917504:VIK917533 VSG917504:VSG917533 WCC917504:WCC917533 WLY917504:WLY917533 WVU917504:WVU917533 JI983040:JI983069 TE983040:TE983069 ADA983040:ADA983069 AMW983040:AMW983069 AWS983040:AWS983069 BGO983040:BGO983069 BQK983040:BQK983069 CAG983040:CAG983069 CKC983040:CKC983069 CTY983040:CTY983069 DDU983040:DDU983069 DNQ983040:DNQ983069 DXM983040:DXM983069 EHI983040:EHI983069 ERE983040:ERE983069 FBA983040:FBA983069 FKW983040:FKW983069 FUS983040:FUS983069 GEO983040:GEO983069 GOK983040:GOK983069 GYG983040:GYG983069 HIC983040:HIC983069 HRY983040:HRY983069 IBU983040:IBU983069 ILQ983040:ILQ983069 IVM983040:IVM983069 JFI983040:JFI983069 JPE983040:JPE983069 JZA983040:JZA983069 KIW983040:KIW983069 KSS983040:KSS983069 LCO983040:LCO983069 LMK983040:LMK983069 LWG983040:LWG983069 MGC983040:MGC983069 MPY983040:MPY983069 MZU983040:MZU983069 NJQ983040:NJQ983069 NTM983040:NTM983069 ODI983040:ODI983069 ONE983040:ONE983069 OXA983040:OXA983069 PGW983040:PGW983069 PQS983040:PQS983069 QAO983040:QAO983069 QKK983040:QKK983069 QUG983040:QUG983069 REC983040:REC983069 RNY983040:RNY983069 RXU983040:RXU983069 SHQ983040:SHQ983069 SRM983040:SRM983069 TBI983040:TBI983069 TLE983040:TLE983069 TVA983040:TVA983069 UEW983040:UEW983069 UOS983040:UOS983069 UYO983040:UYO983069 VIK983040:VIK983069 VSG983040:VSG983069 WCC983040:WCC983069 WLY983040:WLY983069 S26 T25:T29 U25:U26 S28:S29 U28:U29 TA6:TA29 ACW6:ACW29 AMS6:AMS29 AWO6:AWO29 BGK6:BGK29 BQG6:BQG29 CAC6:CAC29 CJY6:CJY29 CTU6:CTU29 DDQ6:DDQ29 DNM6:DNM29 DXI6:DXI29 EHE6:EHE29 ERA6:ERA29 FAW6:FAW29 FKS6:FKS29 FUO6:FUO29 GEK6:GEK29 GOG6:GOG29 GYC6:GYC29 HHY6:HHY29 HRU6:HRU29 IBQ6:IBQ29 ILM6:ILM29 IVI6:IVI29 JFE6:JFE29 JPA6:JPA29 JYW6:JYW29 KIS6:KIS29 KSO6:KSO29 LCK6:LCK29 LMG6:LMG29 LWC6:LWC29 MFY6:MFY29 MPU6:MPU29 MZQ6:MZQ29 NJM6:NJM29 NTI6:NTI29 ODE6:ODE29 ONA6:ONA29 OWW6:OWW29 PGS6:PGS29 PQO6:PQO29 QAK6:QAK29 QKG6:QKG29 QUC6:QUC29 RDY6:RDY29 RNU6:RNU29 RXQ6:RXQ29 SHM6:SHM29 SRI6:SRI29 TBE6:TBE29 TLA6:TLA29 TUW6:TUW29 UES6:UES29 UOO6:UOO29 UYK6:UYK29 VIG6:VIG29 VSC6:VSC29 WBY6:WBY29 WLU6:WLU29 WVQ6:WVQ29 JE6:JE29" xr:uid="{CE7D59A6-5205-417F-AFDE-F860C4D4BFA3}">
      <formula1>"สมเด็จ, มานพ, นิคม, คลองเตย,"</formula1>
    </dataValidation>
    <dataValidation type="list" allowBlank="1" showInputMessage="1" showErrorMessage="1" sqref="WVC983036 IM2 SI2 ACE2 AMA2 AVW2 BFS2 BPO2 BZK2 CJG2 CTC2 DCY2 DMU2 DWQ2 EGM2 EQI2 FAE2 FKA2 FTW2 GDS2 GNO2 GXK2 HHG2 HRC2 IAY2 IKU2 IUQ2 JEM2 JOI2 JYE2 KIA2 KRW2 LBS2 LLO2 LVK2 MFG2 MPC2 MYY2 NIU2 NSQ2 OCM2 OMI2 OWE2 PGA2 PPW2 PZS2 QJO2 QTK2 RDG2 RNC2 RWY2 SGU2 SQQ2 TAM2 TKI2 TUE2 UEA2 UNW2 UXS2 VHO2 VRK2 WBG2 WLC2 WUY2 A65532:B65532 IQ65532 SM65532 ACI65532 AME65532 AWA65532 BFW65532 BPS65532 BZO65532 CJK65532 CTG65532 DDC65532 DMY65532 DWU65532 EGQ65532 EQM65532 FAI65532 FKE65532 FUA65532 GDW65532 GNS65532 GXO65532 HHK65532 HRG65532 IBC65532 IKY65532 IUU65532 JEQ65532 JOM65532 JYI65532 KIE65532 KSA65532 LBW65532 LLS65532 LVO65532 MFK65532 MPG65532 MZC65532 NIY65532 NSU65532 OCQ65532 OMM65532 OWI65532 PGE65532 PQA65532 PZW65532 QJS65532 QTO65532 RDK65532 RNG65532 RXC65532 SGY65532 SQU65532 TAQ65532 TKM65532 TUI65532 UEE65532 UOA65532 UXW65532 VHS65532 VRO65532 WBK65532 WLG65532 WVC65532 A131068:B131068 IQ131068 SM131068 ACI131068 AME131068 AWA131068 BFW131068 BPS131068 BZO131068 CJK131068 CTG131068 DDC131068 DMY131068 DWU131068 EGQ131068 EQM131068 FAI131068 FKE131068 FUA131068 GDW131068 GNS131068 GXO131068 HHK131068 HRG131068 IBC131068 IKY131068 IUU131068 JEQ131068 JOM131068 JYI131068 KIE131068 KSA131068 LBW131068 LLS131068 LVO131068 MFK131068 MPG131068 MZC131068 NIY131068 NSU131068 OCQ131068 OMM131068 OWI131068 PGE131068 PQA131068 PZW131068 QJS131068 QTO131068 RDK131068 RNG131068 RXC131068 SGY131068 SQU131068 TAQ131068 TKM131068 TUI131068 UEE131068 UOA131068 UXW131068 VHS131068 VRO131068 WBK131068 WLG131068 WVC131068 A196604:B196604 IQ196604 SM196604 ACI196604 AME196604 AWA196604 BFW196604 BPS196604 BZO196604 CJK196604 CTG196604 DDC196604 DMY196604 DWU196604 EGQ196604 EQM196604 FAI196604 FKE196604 FUA196604 GDW196604 GNS196604 GXO196604 HHK196604 HRG196604 IBC196604 IKY196604 IUU196604 JEQ196604 JOM196604 JYI196604 KIE196604 KSA196604 LBW196604 LLS196604 LVO196604 MFK196604 MPG196604 MZC196604 NIY196604 NSU196604 OCQ196604 OMM196604 OWI196604 PGE196604 PQA196604 PZW196604 QJS196604 QTO196604 RDK196604 RNG196604 RXC196604 SGY196604 SQU196604 TAQ196604 TKM196604 TUI196604 UEE196604 UOA196604 UXW196604 VHS196604 VRO196604 WBK196604 WLG196604 WVC196604 A262140:B262140 IQ262140 SM262140 ACI262140 AME262140 AWA262140 BFW262140 BPS262140 BZO262140 CJK262140 CTG262140 DDC262140 DMY262140 DWU262140 EGQ262140 EQM262140 FAI262140 FKE262140 FUA262140 GDW262140 GNS262140 GXO262140 HHK262140 HRG262140 IBC262140 IKY262140 IUU262140 JEQ262140 JOM262140 JYI262140 KIE262140 KSA262140 LBW262140 LLS262140 LVO262140 MFK262140 MPG262140 MZC262140 NIY262140 NSU262140 OCQ262140 OMM262140 OWI262140 PGE262140 PQA262140 PZW262140 QJS262140 QTO262140 RDK262140 RNG262140 RXC262140 SGY262140 SQU262140 TAQ262140 TKM262140 TUI262140 UEE262140 UOA262140 UXW262140 VHS262140 VRO262140 WBK262140 WLG262140 WVC262140 A327676:B327676 IQ327676 SM327676 ACI327676 AME327676 AWA327676 BFW327676 BPS327676 BZO327676 CJK327676 CTG327676 DDC327676 DMY327676 DWU327676 EGQ327676 EQM327676 FAI327676 FKE327676 FUA327676 GDW327676 GNS327676 GXO327676 HHK327676 HRG327676 IBC327676 IKY327676 IUU327676 JEQ327676 JOM327676 JYI327676 KIE327676 KSA327676 LBW327676 LLS327676 LVO327676 MFK327676 MPG327676 MZC327676 NIY327676 NSU327676 OCQ327676 OMM327676 OWI327676 PGE327676 PQA327676 PZW327676 QJS327676 QTO327676 RDK327676 RNG327676 RXC327676 SGY327676 SQU327676 TAQ327676 TKM327676 TUI327676 UEE327676 UOA327676 UXW327676 VHS327676 VRO327676 WBK327676 WLG327676 WVC327676 A393212:B393212 IQ393212 SM393212 ACI393212 AME393212 AWA393212 BFW393212 BPS393212 BZO393212 CJK393212 CTG393212 DDC393212 DMY393212 DWU393212 EGQ393212 EQM393212 FAI393212 FKE393212 FUA393212 GDW393212 GNS393212 GXO393212 HHK393212 HRG393212 IBC393212 IKY393212 IUU393212 JEQ393212 JOM393212 JYI393212 KIE393212 KSA393212 LBW393212 LLS393212 LVO393212 MFK393212 MPG393212 MZC393212 NIY393212 NSU393212 OCQ393212 OMM393212 OWI393212 PGE393212 PQA393212 PZW393212 QJS393212 QTO393212 RDK393212 RNG393212 RXC393212 SGY393212 SQU393212 TAQ393212 TKM393212 TUI393212 UEE393212 UOA393212 UXW393212 VHS393212 VRO393212 WBK393212 WLG393212 WVC393212 A458748:B458748 IQ458748 SM458748 ACI458748 AME458748 AWA458748 BFW458748 BPS458748 BZO458748 CJK458748 CTG458748 DDC458748 DMY458748 DWU458748 EGQ458748 EQM458748 FAI458748 FKE458748 FUA458748 GDW458748 GNS458748 GXO458748 HHK458748 HRG458748 IBC458748 IKY458748 IUU458748 JEQ458748 JOM458748 JYI458748 KIE458748 KSA458748 LBW458748 LLS458748 LVO458748 MFK458748 MPG458748 MZC458748 NIY458748 NSU458748 OCQ458748 OMM458748 OWI458748 PGE458748 PQA458748 PZW458748 QJS458748 QTO458748 RDK458748 RNG458748 RXC458748 SGY458748 SQU458748 TAQ458748 TKM458748 TUI458748 UEE458748 UOA458748 UXW458748 VHS458748 VRO458748 WBK458748 WLG458748 WVC458748 A524284:B524284 IQ524284 SM524284 ACI524284 AME524284 AWA524284 BFW524284 BPS524284 BZO524284 CJK524284 CTG524284 DDC524284 DMY524284 DWU524284 EGQ524284 EQM524284 FAI524284 FKE524284 FUA524284 GDW524284 GNS524284 GXO524284 HHK524284 HRG524284 IBC524284 IKY524284 IUU524284 JEQ524284 JOM524284 JYI524284 KIE524284 KSA524284 LBW524284 LLS524284 LVO524284 MFK524284 MPG524284 MZC524284 NIY524284 NSU524284 OCQ524284 OMM524284 OWI524284 PGE524284 PQA524284 PZW524284 QJS524284 QTO524284 RDK524284 RNG524284 RXC524284 SGY524284 SQU524284 TAQ524284 TKM524284 TUI524284 UEE524284 UOA524284 UXW524284 VHS524284 VRO524284 WBK524284 WLG524284 WVC524284 A589820:B589820 IQ589820 SM589820 ACI589820 AME589820 AWA589820 BFW589820 BPS589820 BZO589820 CJK589820 CTG589820 DDC589820 DMY589820 DWU589820 EGQ589820 EQM589820 FAI589820 FKE589820 FUA589820 GDW589820 GNS589820 GXO589820 HHK589820 HRG589820 IBC589820 IKY589820 IUU589820 JEQ589820 JOM589820 JYI589820 KIE589820 KSA589820 LBW589820 LLS589820 LVO589820 MFK589820 MPG589820 MZC589820 NIY589820 NSU589820 OCQ589820 OMM589820 OWI589820 PGE589820 PQA589820 PZW589820 QJS589820 QTO589820 RDK589820 RNG589820 RXC589820 SGY589820 SQU589820 TAQ589820 TKM589820 TUI589820 UEE589820 UOA589820 UXW589820 VHS589820 VRO589820 WBK589820 WLG589820 WVC589820 A655356:B655356 IQ655356 SM655356 ACI655356 AME655356 AWA655356 BFW655356 BPS655356 BZO655356 CJK655356 CTG655356 DDC655356 DMY655356 DWU655356 EGQ655356 EQM655356 FAI655356 FKE655356 FUA655356 GDW655356 GNS655356 GXO655356 HHK655356 HRG655356 IBC655356 IKY655356 IUU655356 JEQ655356 JOM655356 JYI655356 KIE655356 KSA655356 LBW655356 LLS655356 LVO655356 MFK655356 MPG655356 MZC655356 NIY655356 NSU655356 OCQ655356 OMM655356 OWI655356 PGE655356 PQA655356 PZW655356 QJS655356 QTO655356 RDK655356 RNG655356 RXC655356 SGY655356 SQU655356 TAQ655356 TKM655356 TUI655356 UEE655356 UOA655356 UXW655356 VHS655356 VRO655356 WBK655356 WLG655356 WVC655356 A720892:B720892 IQ720892 SM720892 ACI720892 AME720892 AWA720892 BFW720892 BPS720892 BZO720892 CJK720892 CTG720892 DDC720892 DMY720892 DWU720892 EGQ720892 EQM720892 FAI720892 FKE720892 FUA720892 GDW720892 GNS720892 GXO720892 HHK720892 HRG720892 IBC720892 IKY720892 IUU720892 JEQ720892 JOM720892 JYI720892 KIE720892 KSA720892 LBW720892 LLS720892 LVO720892 MFK720892 MPG720892 MZC720892 NIY720892 NSU720892 OCQ720892 OMM720892 OWI720892 PGE720892 PQA720892 PZW720892 QJS720892 QTO720892 RDK720892 RNG720892 RXC720892 SGY720892 SQU720892 TAQ720892 TKM720892 TUI720892 UEE720892 UOA720892 UXW720892 VHS720892 VRO720892 WBK720892 WLG720892 WVC720892 A786428:B786428 IQ786428 SM786428 ACI786428 AME786428 AWA786428 BFW786428 BPS786428 BZO786428 CJK786428 CTG786428 DDC786428 DMY786428 DWU786428 EGQ786428 EQM786428 FAI786428 FKE786428 FUA786428 GDW786428 GNS786428 GXO786428 HHK786428 HRG786428 IBC786428 IKY786428 IUU786428 JEQ786428 JOM786428 JYI786428 KIE786428 KSA786428 LBW786428 LLS786428 LVO786428 MFK786428 MPG786428 MZC786428 NIY786428 NSU786428 OCQ786428 OMM786428 OWI786428 PGE786428 PQA786428 PZW786428 QJS786428 QTO786428 RDK786428 RNG786428 RXC786428 SGY786428 SQU786428 TAQ786428 TKM786428 TUI786428 UEE786428 UOA786428 UXW786428 VHS786428 VRO786428 WBK786428 WLG786428 WVC786428 A851964:B851964 IQ851964 SM851964 ACI851964 AME851964 AWA851964 BFW851964 BPS851964 BZO851964 CJK851964 CTG851964 DDC851964 DMY851964 DWU851964 EGQ851964 EQM851964 FAI851964 FKE851964 FUA851964 GDW851964 GNS851964 GXO851964 HHK851964 HRG851964 IBC851964 IKY851964 IUU851964 JEQ851964 JOM851964 JYI851964 KIE851964 KSA851964 LBW851964 LLS851964 LVO851964 MFK851964 MPG851964 MZC851964 NIY851964 NSU851964 OCQ851964 OMM851964 OWI851964 PGE851964 PQA851964 PZW851964 QJS851964 QTO851964 RDK851964 RNG851964 RXC851964 SGY851964 SQU851964 TAQ851964 TKM851964 TUI851964 UEE851964 UOA851964 UXW851964 VHS851964 VRO851964 WBK851964 WLG851964 WVC851964 A917500:B917500 IQ917500 SM917500 ACI917500 AME917500 AWA917500 BFW917500 BPS917500 BZO917500 CJK917500 CTG917500 DDC917500 DMY917500 DWU917500 EGQ917500 EQM917500 FAI917500 FKE917500 FUA917500 GDW917500 GNS917500 GXO917500 HHK917500 HRG917500 IBC917500 IKY917500 IUU917500 JEQ917500 JOM917500 JYI917500 KIE917500 KSA917500 LBW917500 LLS917500 LVO917500 MFK917500 MPG917500 MZC917500 NIY917500 NSU917500 OCQ917500 OMM917500 OWI917500 PGE917500 PQA917500 PZW917500 QJS917500 QTO917500 RDK917500 RNG917500 RXC917500 SGY917500 SQU917500 TAQ917500 TKM917500 TUI917500 UEE917500 UOA917500 UXW917500 VHS917500 VRO917500 WBK917500 WLG917500 WVC917500 A983036:B983036 IQ983036 SM983036 ACI983036 AME983036 AWA983036 BFW983036 BPS983036 BZO983036 CJK983036 CTG983036 DDC983036 DMY983036 DWU983036 EGQ983036 EQM983036 FAI983036 FKE983036 FUA983036 GDW983036 GNS983036 GXO983036 HHK983036 HRG983036 IBC983036 IKY983036 IUU983036 JEQ983036 JOM983036 JYI983036 KIE983036 KSA983036 LBW983036 LLS983036 LVO983036 MFK983036 MPG983036 MZC983036 NIY983036 NSU983036 OCQ983036 OMM983036 OWI983036 PGE983036 PQA983036 PZW983036 QJS983036 QTO983036 RDK983036 RNG983036 RXC983036 SGY983036 SQU983036 TAQ983036 TKM983036 TUI983036 UEE983036 UOA983036 UXW983036 VHS983036 VRO983036 WBK983036 WLG983036 A2" xr:uid="{A20D6ADE-EFBA-4BF1-A4AA-7A30E4FF42CF}">
      <formula1>"ประจำเดือน มกราคม,ประจำเดือน กุมภาพันธ์,ประจำเดือน มีนาคม,ประจำเดือน เมษายน,ประจำเดือน พฤษภาคม,ประจำเดือน มิถุนายน,ประจำเดือน กรกฏาคม,ประจำเดือน สิงหาคม,ประจำเดือน กันยายน,ประจำเดือน ตุลาคม,ประจำเดือน พฤศจิกายน,ประจำเดือน ธันวาคม"</formula1>
    </dataValidation>
  </dataValidations>
  <printOptions horizontalCentered="1"/>
  <pageMargins left="0.23622047244094491" right="0.11811023622047245" top="0.39370078740157483" bottom="0.23622047244094491" header="0.39370078740157483" footer="0.31496062992125984"/>
  <pageSetup paperSize="9" scale="34" orientation="landscape" r:id="rId1"/>
  <headerFooter alignWithMargins="0"/>
  <ignoredErrors>
    <ignoredError sqref="L7:L8 M7:M8 M6 L6 Q7:Q8 L15:M17" unlockedFormula="1"/>
  </ignoredErrors>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E5CAC25B-5580-4F9A-835D-46D5288DD975}">
          <x14:formula1>
            <xm:f>Ref!$C$2:$C$20</xm:f>
          </x14:formula1>
          <xm:sqref>E6 E21 E18 E12 E24 E27 E9 E15</xm:sqref>
        </x14:dataValidation>
        <x14:dataValidation type="list" allowBlank="1" showInputMessage="1" showErrorMessage="1" xr:uid="{A4BCCE3B-5B14-4FDA-82E7-7220D14035D6}">
          <x14:formula1>
            <xm:f>Ref!$B$2:$B$21</xm:f>
          </x14:formula1>
          <xm:sqref>D6 D12 D9 D24 D21 D18 D15 D27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C4B91-2758-48E3-91D9-7474526349FA}">
  <sheetPr codeName="Sheet5">
    <tabColor rgb="FF92D050"/>
    <pageSetUpPr fitToPage="1"/>
  </sheetPr>
  <dimension ref="A1:WVY295"/>
  <sheetViews>
    <sheetView zoomScale="80" zoomScaleNormal="80" workbookViewId="0">
      <selection activeCell="I90" sqref="I90"/>
    </sheetView>
  </sheetViews>
  <sheetFormatPr defaultColWidth="0" defaultRowHeight="0" customHeight="1" zeroHeight="1"/>
  <cols>
    <col min="1" max="1" width="6.88671875" style="69" customWidth="1"/>
    <col min="2" max="2" width="20.77734375" style="69" customWidth="1"/>
    <col min="3" max="3" width="23.6640625" style="69" bestFit="1" customWidth="1"/>
    <col min="4" max="4" width="31.77734375" style="69" customWidth="1"/>
    <col min="5" max="5" width="16.109375" style="78" bestFit="1" customWidth="1"/>
    <col min="6" max="6" width="14.109375" style="78" customWidth="1"/>
    <col min="7" max="7" width="16.5546875" style="78" bestFit="1" customWidth="1"/>
    <col min="8" max="8" width="14.5546875" style="78" customWidth="1"/>
    <col min="9" max="9" width="15" style="78" customWidth="1"/>
    <col min="10" max="10" width="16.6640625" style="78" customWidth="1"/>
    <col min="11" max="11" width="17.88671875" style="69" bestFit="1" customWidth="1"/>
    <col min="12" max="12" width="11.77734375" style="69" customWidth="1"/>
    <col min="13" max="13" width="17.77734375" style="69" customWidth="1"/>
    <col min="14" max="16" width="8" style="69" customWidth="1"/>
    <col min="17" max="256" width="9.109375" style="69" hidden="1"/>
    <col min="257" max="257" width="6.88671875" style="69" customWidth="1"/>
    <col min="258" max="258" width="23.33203125" style="69" customWidth="1"/>
    <col min="259" max="259" width="42.88671875" style="69" customWidth="1"/>
    <col min="260" max="260" width="14" style="69" customWidth="1"/>
    <col min="261" max="261" width="14.109375" style="69" customWidth="1"/>
    <col min="262" max="262" width="13" style="69" customWidth="1"/>
    <col min="263" max="263" width="14" style="69" customWidth="1"/>
    <col min="264" max="264" width="15" style="69" customWidth="1"/>
    <col min="265" max="265" width="15.21875" style="69" customWidth="1"/>
    <col min="266" max="266" width="1.88671875" style="69" customWidth="1"/>
    <col min="267" max="267" width="10.5546875" style="69" customWidth="1"/>
    <col min="268" max="272" width="8" style="69" customWidth="1"/>
    <col min="273" max="512" width="9.109375" style="69" hidden="1"/>
    <col min="513" max="513" width="6.88671875" style="69" customWidth="1"/>
    <col min="514" max="514" width="23.33203125" style="69" customWidth="1"/>
    <col min="515" max="515" width="42.88671875" style="69" customWidth="1"/>
    <col min="516" max="516" width="14" style="69" customWidth="1"/>
    <col min="517" max="517" width="14.109375" style="69" customWidth="1"/>
    <col min="518" max="518" width="13" style="69" customWidth="1"/>
    <col min="519" max="519" width="14" style="69" customWidth="1"/>
    <col min="520" max="520" width="15" style="69" customWidth="1"/>
    <col min="521" max="521" width="15.21875" style="69" customWidth="1"/>
    <col min="522" max="522" width="1.88671875" style="69" customWidth="1"/>
    <col min="523" max="523" width="10.5546875" style="69" customWidth="1"/>
    <col min="524" max="528" width="8" style="69" customWidth="1"/>
    <col min="529" max="768" width="9.109375" style="69" hidden="1"/>
    <col min="769" max="769" width="6.88671875" style="69" customWidth="1"/>
    <col min="770" max="770" width="23.33203125" style="69" customWidth="1"/>
    <col min="771" max="771" width="42.88671875" style="69" customWidth="1"/>
    <col min="772" max="772" width="14" style="69" customWidth="1"/>
    <col min="773" max="773" width="14.109375" style="69" customWidth="1"/>
    <col min="774" max="774" width="13" style="69" customWidth="1"/>
    <col min="775" max="775" width="14" style="69" customWidth="1"/>
    <col min="776" max="776" width="15" style="69" customWidth="1"/>
    <col min="777" max="777" width="15.21875" style="69" customWidth="1"/>
    <col min="778" max="778" width="1.88671875" style="69" customWidth="1"/>
    <col min="779" max="779" width="10.5546875" style="69" customWidth="1"/>
    <col min="780" max="784" width="8" style="69" customWidth="1"/>
    <col min="785" max="1024" width="9.109375" style="69" hidden="1"/>
    <col min="1025" max="1025" width="6.88671875" style="69" customWidth="1"/>
    <col min="1026" max="1026" width="23.33203125" style="69" customWidth="1"/>
    <col min="1027" max="1027" width="42.88671875" style="69" customWidth="1"/>
    <col min="1028" max="1028" width="14" style="69" customWidth="1"/>
    <col min="1029" max="1029" width="14.109375" style="69" customWidth="1"/>
    <col min="1030" max="1030" width="13" style="69" customWidth="1"/>
    <col min="1031" max="1031" width="14" style="69" customWidth="1"/>
    <col min="1032" max="1032" width="15" style="69" customWidth="1"/>
    <col min="1033" max="1033" width="15.21875" style="69" customWidth="1"/>
    <col min="1034" max="1034" width="1.88671875" style="69" customWidth="1"/>
    <col min="1035" max="1035" width="10.5546875" style="69" customWidth="1"/>
    <col min="1036" max="1040" width="8" style="69" customWidth="1"/>
    <col min="1041" max="1280" width="9.109375" style="69" hidden="1"/>
    <col min="1281" max="1281" width="6.88671875" style="69" customWidth="1"/>
    <col min="1282" max="1282" width="23.33203125" style="69" customWidth="1"/>
    <col min="1283" max="1283" width="42.88671875" style="69" customWidth="1"/>
    <col min="1284" max="1284" width="14" style="69" customWidth="1"/>
    <col min="1285" max="1285" width="14.109375" style="69" customWidth="1"/>
    <col min="1286" max="1286" width="13" style="69" customWidth="1"/>
    <col min="1287" max="1287" width="14" style="69" customWidth="1"/>
    <col min="1288" max="1288" width="15" style="69" customWidth="1"/>
    <col min="1289" max="1289" width="15.21875" style="69" customWidth="1"/>
    <col min="1290" max="1290" width="1.88671875" style="69" customWidth="1"/>
    <col min="1291" max="1291" width="10.5546875" style="69" customWidth="1"/>
    <col min="1292" max="1296" width="8" style="69" customWidth="1"/>
    <col min="1297" max="1536" width="9.109375" style="69" hidden="1"/>
    <col min="1537" max="1537" width="6.88671875" style="69" customWidth="1"/>
    <col min="1538" max="1538" width="23.33203125" style="69" customWidth="1"/>
    <col min="1539" max="1539" width="42.88671875" style="69" customWidth="1"/>
    <col min="1540" max="1540" width="14" style="69" customWidth="1"/>
    <col min="1541" max="1541" width="14.109375" style="69" customWidth="1"/>
    <col min="1542" max="1542" width="13" style="69" customWidth="1"/>
    <col min="1543" max="1543" width="14" style="69" customWidth="1"/>
    <col min="1544" max="1544" width="15" style="69" customWidth="1"/>
    <col min="1545" max="1545" width="15.21875" style="69" customWidth="1"/>
    <col min="1546" max="1546" width="1.88671875" style="69" customWidth="1"/>
    <col min="1547" max="1547" width="10.5546875" style="69" customWidth="1"/>
    <col min="1548" max="1552" width="8" style="69" customWidth="1"/>
    <col min="1553" max="1792" width="9.109375" style="69" hidden="1"/>
    <col min="1793" max="1793" width="6.88671875" style="69" customWidth="1"/>
    <col min="1794" max="1794" width="23.33203125" style="69" customWidth="1"/>
    <col min="1795" max="1795" width="42.88671875" style="69" customWidth="1"/>
    <col min="1796" max="1796" width="14" style="69" customWidth="1"/>
    <col min="1797" max="1797" width="14.109375" style="69" customWidth="1"/>
    <col min="1798" max="1798" width="13" style="69" customWidth="1"/>
    <col min="1799" max="1799" width="14" style="69" customWidth="1"/>
    <col min="1800" max="1800" width="15" style="69" customWidth="1"/>
    <col min="1801" max="1801" width="15.21875" style="69" customWidth="1"/>
    <col min="1802" max="1802" width="1.88671875" style="69" customWidth="1"/>
    <col min="1803" max="1803" width="10.5546875" style="69" customWidth="1"/>
    <col min="1804" max="1808" width="8" style="69" customWidth="1"/>
    <col min="1809" max="2048" width="9.109375" style="69" hidden="1"/>
    <col min="2049" max="2049" width="6.88671875" style="69" customWidth="1"/>
    <col min="2050" max="2050" width="23.33203125" style="69" customWidth="1"/>
    <col min="2051" max="2051" width="42.88671875" style="69" customWidth="1"/>
    <col min="2052" max="2052" width="14" style="69" customWidth="1"/>
    <col min="2053" max="2053" width="14.109375" style="69" customWidth="1"/>
    <col min="2054" max="2054" width="13" style="69" customWidth="1"/>
    <col min="2055" max="2055" width="14" style="69" customWidth="1"/>
    <col min="2056" max="2056" width="15" style="69" customWidth="1"/>
    <col min="2057" max="2057" width="15.21875" style="69" customWidth="1"/>
    <col min="2058" max="2058" width="1.88671875" style="69" customWidth="1"/>
    <col min="2059" max="2059" width="10.5546875" style="69" customWidth="1"/>
    <col min="2060" max="2064" width="8" style="69" customWidth="1"/>
    <col min="2065" max="2304" width="9.109375" style="69" hidden="1"/>
    <col min="2305" max="2305" width="6.88671875" style="69" customWidth="1"/>
    <col min="2306" max="2306" width="23.33203125" style="69" customWidth="1"/>
    <col min="2307" max="2307" width="42.88671875" style="69" customWidth="1"/>
    <col min="2308" max="2308" width="14" style="69" customWidth="1"/>
    <col min="2309" max="2309" width="14.109375" style="69" customWidth="1"/>
    <col min="2310" max="2310" width="13" style="69" customWidth="1"/>
    <col min="2311" max="2311" width="14" style="69" customWidth="1"/>
    <col min="2312" max="2312" width="15" style="69" customWidth="1"/>
    <col min="2313" max="2313" width="15.21875" style="69" customWidth="1"/>
    <col min="2314" max="2314" width="1.88671875" style="69" customWidth="1"/>
    <col min="2315" max="2315" width="10.5546875" style="69" customWidth="1"/>
    <col min="2316" max="2320" width="8" style="69" customWidth="1"/>
    <col min="2321" max="2560" width="9.109375" style="69" hidden="1"/>
    <col min="2561" max="2561" width="6.88671875" style="69" customWidth="1"/>
    <col min="2562" max="2562" width="23.33203125" style="69" customWidth="1"/>
    <col min="2563" max="2563" width="42.88671875" style="69" customWidth="1"/>
    <col min="2564" max="2564" width="14" style="69" customWidth="1"/>
    <col min="2565" max="2565" width="14.109375" style="69" customWidth="1"/>
    <col min="2566" max="2566" width="13" style="69" customWidth="1"/>
    <col min="2567" max="2567" width="14" style="69" customWidth="1"/>
    <col min="2568" max="2568" width="15" style="69" customWidth="1"/>
    <col min="2569" max="2569" width="15.21875" style="69" customWidth="1"/>
    <col min="2570" max="2570" width="1.88671875" style="69" customWidth="1"/>
    <col min="2571" max="2571" width="10.5546875" style="69" customWidth="1"/>
    <col min="2572" max="2576" width="8" style="69" customWidth="1"/>
    <col min="2577" max="2816" width="9.109375" style="69" hidden="1"/>
    <col min="2817" max="2817" width="6.88671875" style="69" customWidth="1"/>
    <col min="2818" max="2818" width="23.33203125" style="69" customWidth="1"/>
    <col min="2819" max="2819" width="42.88671875" style="69" customWidth="1"/>
    <col min="2820" max="2820" width="14" style="69" customWidth="1"/>
    <col min="2821" max="2821" width="14.109375" style="69" customWidth="1"/>
    <col min="2822" max="2822" width="13" style="69" customWidth="1"/>
    <col min="2823" max="2823" width="14" style="69" customWidth="1"/>
    <col min="2824" max="2824" width="15" style="69" customWidth="1"/>
    <col min="2825" max="2825" width="15.21875" style="69" customWidth="1"/>
    <col min="2826" max="2826" width="1.88671875" style="69" customWidth="1"/>
    <col min="2827" max="2827" width="10.5546875" style="69" customWidth="1"/>
    <col min="2828" max="2832" width="8" style="69" customWidth="1"/>
    <col min="2833" max="3072" width="9.109375" style="69" hidden="1"/>
    <col min="3073" max="3073" width="6.88671875" style="69" customWidth="1"/>
    <col min="3074" max="3074" width="23.33203125" style="69" customWidth="1"/>
    <col min="3075" max="3075" width="42.88671875" style="69" customWidth="1"/>
    <col min="3076" max="3076" width="14" style="69" customWidth="1"/>
    <col min="3077" max="3077" width="14.109375" style="69" customWidth="1"/>
    <col min="3078" max="3078" width="13" style="69" customWidth="1"/>
    <col min="3079" max="3079" width="14" style="69" customWidth="1"/>
    <col min="3080" max="3080" width="15" style="69" customWidth="1"/>
    <col min="3081" max="3081" width="15.21875" style="69" customWidth="1"/>
    <col min="3082" max="3082" width="1.88671875" style="69" customWidth="1"/>
    <col min="3083" max="3083" width="10.5546875" style="69" customWidth="1"/>
    <col min="3084" max="3088" width="8" style="69" customWidth="1"/>
    <col min="3089" max="3328" width="9.109375" style="69" hidden="1"/>
    <col min="3329" max="3329" width="6.88671875" style="69" customWidth="1"/>
    <col min="3330" max="3330" width="23.33203125" style="69" customWidth="1"/>
    <col min="3331" max="3331" width="42.88671875" style="69" customWidth="1"/>
    <col min="3332" max="3332" width="14" style="69" customWidth="1"/>
    <col min="3333" max="3333" width="14.109375" style="69" customWidth="1"/>
    <col min="3334" max="3334" width="13" style="69" customWidth="1"/>
    <col min="3335" max="3335" width="14" style="69" customWidth="1"/>
    <col min="3336" max="3336" width="15" style="69" customWidth="1"/>
    <col min="3337" max="3337" width="15.21875" style="69" customWidth="1"/>
    <col min="3338" max="3338" width="1.88671875" style="69" customWidth="1"/>
    <col min="3339" max="3339" width="10.5546875" style="69" customWidth="1"/>
    <col min="3340" max="3344" width="8" style="69" customWidth="1"/>
    <col min="3345" max="3584" width="9.109375" style="69" hidden="1"/>
    <col min="3585" max="3585" width="6.88671875" style="69" customWidth="1"/>
    <col min="3586" max="3586" width="23.33203125" style="69" customWidth="1"/>
    <col min="3587" max="3587" width="42.88671875" style="69" customWidth="1"/>
    <col min="3588" max="3588" width="14" style="69" customWidth="1"/>
    <col min="3589" max="3589" width="14.109375" style="69" customWidth="1"/>
    <col min="3590" max="3590" width="13" style="69" customWidth="1"/>
    <col min="3591" max="3591" width="14" style="69" customWidth="1"/>
    <col min="3592" max="3592" width="15" style="69" customWidth="1"/>
    <col min="3593" max="3593" width="15.21875" style="69" customWidth="1"/>
    <col min="3594" max="3594" width="1.88671875" style="69" customWidth="1"/>
    <col min="3595" max="3595" width="10.5546875" style="69" customWidth="1"/>
    <col min="3596" max="3600" width="8" style="69" customWidth="1"/>
    <col min="3601" max="3840" width="9.109375" style="69" hidden="1"/>
    <col min="3841" max="3841" width="6.88671875" style="69" customWidth="1"/>
    <col min="3842" max="3842" width="23.33203125" style="69" customWidth="1"/>
    <col min="3843" max="3843" width="42.88671875" style="69" customWidth="1"/>
    <col min="3844" max="3844" width="14" style="69" customWidth="1"/>
    <col min="3845" max="3845" width="14.109375" style="69" customWidth="1"/>
    <col min="3846" max="3846" width="13" style="69" customWidth="1"/>
    <col min="3847" max="3847" width="14" style="69" customWidth="1"/>
    <col min="3848" max="3848" width="15" style="69" customWidth="1"/>
    <col min="3849" max="3849" width="15.21875" style="69" customWidth="1"/>
    <col min="3850" max="3850" width="1.88671875" style="69" customWidth="1"/>
    <col min="3851" max="3851" width="10.5546875" style="69" customWidth="1"/>
    <col min="3852" max="3856" width="8" style="69" customWidth="1"/>
    <col min="3857" max="4096" width="9.109375" style="69" hidden="1"/>
    <col min="4097" max="4097" width="6.88671875" style="69" customWidth="1"/>
    <col min="4098" max="4098" width="23.33203125" style="69" customWidth="1"/>
    <col min="4099" max="4099" width="42.88671875" style="69" customWidth="1"/>
    <col min="4100" max="4100" width="14" style="69" customWidth="1"/>
    <col min="4101" max="4101" width="14.109375" style="69" customWidth="1"/>
    <col min="4102" max="4102" width="13" style="69" customWidth="1"/>
    <col min="4103" max="4103" width="14" style="69" customWidth="1"/>
    <col min="4104" max="4104" width="15" style="69" customWidth="1"/>
    <col min="4105" max="4105" width="15.21875" style="69" customWidth="1"/>
    <col min="4106" max="4106" width="1.88671875" style="69" customWidth="1"/>
    <col min="4107" max="4107" width="10.5546875" style="69" customWidth="1"/>
    <col min="4108" max="4112" width="8" style="69" customWidth="1"/>
    <col min="4113" max="4352" width="9.109375" style="69" hidden="1"/>
    <col min="4353" max="4353" width="6.88671875" style="69" customWidth="1"/>
    <col min="4354" max="4354" width="23.33203125" style="69" customWidth="1"/>
    <col min="4355" max="4355" width="42.88671875" style="69" customWidth="1"/>
    <col min="4356" max="4356" width="14" style="69" customWidth="1"/>
    <col min="4357" max="4357" width="14.109375" style="69" customWidth="1"/>
    <col min="4358" max="4358" width="13" style="69" customWidth="1"/>
    <col min="4359" max="4359" width="14" style="69" customWidth="1"/>
    <col min="4360" max="4360" width="15" style="69" customWidth="1"/>
    <col min="4361" max="4361" width="15.21875" style="69" customWidth="1"/>
    <col min="4362" max="4362" width="1.88671875" style="69" customWidth="1"/>
    <col min="4363" max="4363" width="10.5546875" style="69" customWidth="1"/>
    <col min="4364" max="4368" width="8" style="69" customWidth="1"/>
    <col min="4369" max="4608" width="9.109375" style="69" hidden="1"/>
    <col min="4609" max="4609" width="6.88671875" style="69" customWidth="1"/>
    <col min="4610" max="4610" width="23.33203125" style="69" customWidth="1"/>
    <col min="4611" max="4611" width="42.88671875" style="69" customWidth="1"/>
    <col min="4612" max="4612" width="14" style="69" customWidth="1"/>
    <col min="4613" max="4613" width="14.109375" style="69" customWidth="1"/>
    <col min="4614" max="4614" width="13" style="69" customWidth="1"/>
    <col min="4615" max="4615" width="14" style="69" customWidth="1"/>
    <col min="4616" max="4616" width="15" style="69" customWidth="1"/>
    <col min="4617" max="4617" width="15.21875" style="69" customWidth="1"/>
    <col min="4618" max="4618" width="1.88671875" style="69" customWidth="1"/>
    <col min="4619" max="4619" width="10.5546875" style="69" customWidth="1"/>
    <col min="4620" max="4624" width="8" style="69" customWidth="1"/>
    <col min="4625" max="4864" width="9.109375" style="69" hidden="1"/>
    <col min="4865" max="4865" width="6.88671875" style="69" customWidth="1"/>
    <col min="4866" max="4866" width="23.33203125" style="69" customWidth="1"/>
    <col min="4867" max="4867" width="42.88671875" style="69" customWidth="1"/>
    <col min="4868" max="4868" width="14" style="69" customWidth="1"/>
    <col min="4869" max="4869" width="14.109375" style="69" customWidth="1"/>
    <col min="4870" max="4870" width="13" style="69" customWidth="1"/>
    <col min="4871" max="4871" width="14" style="69" customWidth="1"/>
    <col min="4872" max="4872" width="15" style="69" customWidth="1"/>
    <col min="4873" max="4873" width="15.21875" style="69" customWidth="1"/>
    <col min="4874" max="4874" width="1.88671875" style="69" customWidth="1"/>
    <col min="4875" max="4875" width="10.5546875" style="69" customWidth="1"/>
    <col min="4876" max="4880" width="8" style="69" customWidth="1"/>
    <col min="4881" max="5120" width="9.109375" style="69" hidden="1"/>
    <col min="5121" max="5121" width="6.88671875" style="69" customWidth="1"/>
    <col min="5122" max="5122" width="23.33203125" style="69" customWidth="1"/>
    <col min="5123" max="5123" width="42.88671875" style="69" customWidth="1"/>
    <col min="5124" max="5124" width="14" style="69" customWidth="1"/>
    <col min="5125" max="5125" width="14.109375" style="69" customWidth="1"/>
    <col min="5126" max="5126" width="13" style="69" customWidth="1"/>
    <col min="5127" max="5127" width="14" style="69" customWidth="1"/>
    <col min="5128" max="5128" width="15" style="69" customWidth="1"/>
    <col min="5129" max="5129" width="15.21875" style="69" customWidth="1"/>
    <col min="5130" max="5130" width="1.88671875" style="69" customWidth="1"/>
    <col min="5131" max="5131" width="10.5546875" style="69" customWidth="1"/>
    <col min="5132" max="5136" width="8" style="69" customWidth="1"/>
    <col min="5137" max="5376" width="9.109375" style="69" hidden="1"/>
    <col min="5377" max="5377" width="6.88671875" style="69" customWidth="1"/>
    <col min="5378" max="5378" width="23.33203125" style="69" customWidth="1"/>
    <col min="5379" max="5379" width="42.88671875" style="69" customWidth="1"/>
    <col min="5380" max="5380" width="14" style="69" customWidth="1"/>
    <col min="5381" max="5381" width="14.109375" style="69" customWidth="1"/>
    <col min="5382" max="5382" width="13" style="69" customWidth="1"/>
    <col min="5383" max="5383" width="14" style="69" customWidth="1"/>
    <col min="5384" max="5384" width="15" style="69" customWidth="1"/>
    <col min="5385" max="5385" width="15.21875" style="69" customWidth="1"/>
    <col min="5386" max="5386" width="1.88671875" style="69" customWidth="1"/>
    <col min="5387" max="5387" width="10.5546875" style="69" customWidth="1"/>
    <col min="5388" max="5392" width="8" style="69" customWidth="1"/>
    <col min="5393" max="5632" width="9.109375" style="69" hidden="1"/>
    <col min="5633" max="5633" width="6.88671875" style="69" customWidth="1"/>
    <col min="5634" max="5634" width="23.33203125" style="69" customWidth="1"/>
    <col min="5635" max="5635" width="42.88671875" style="69" customWidth="1"/>
    <col min="5636" max="5636" width="14" style="69" customWidth="1"/>
    <col min="5637" max="5637" width="14.109375" style="69" customWidth="1"/>
    <col min="5638" max="5638" width="13" style="69" customWidth="1"/>
    <col min="5639" max="5639" width="14" style="69" customWidth="1"/>
    <col min="5640" max="5640" width="15" style="69" customWidth="1"/>
    <col min="5641" max="5641" width="15.21875" style="69" customWidth="1"/>
    <col min="5642" max="5642" width="1.88671875" style="69" customWidth="1"/>
    <col min="5643" max="5643" width="10.5546875" style="69" customWidth="1"/>
    <col min="5644" max="5648" width="8" style="69" customWidth="1"/>
    <col min="5649" max="5888" width="9.109375" style="69" hidden="1"/>
    <col min="5889" max="5889" width="6.88671875" style="69" customWidth="1"/>
    <col min="5890" max="5890" width="23.33203125" style="69" customWidth="1"/>
    <col min="5891" max="5891" width="42.88671875" style="69" customWidth="1"/>
    <col min="5892" max="5892" width="14" style="69" customWidth="1"/>
    <col min="5893" max="5893" width="14.109375" style="69" customWidth="1"/>
    <col min="5894" max="5894" width="13" style="69" customWidth="1"/>
    <col min="5895" max="5895" width="14" style="69" customWidth="1"/>
    <col min="5896" max="5896" width="15" style="69" customWidth="1"/>
    <col min="5897" max="5897" width="15.21875" style="69" customWidth="1"/>
    <col min="5898" max="5898" width="1.88671875" style="69" customWidth="1"/>
    <col min="5899" max="5899" width="10.5546875" style="69" customWidth="1"/>
    <col min="5900" max="5904" width="8" style="69" customWidth="1"/>
    <col min="5905" max="6144" width="9.109375" style="69" hidden="1"/>
    <col min="6145" max="6145" width="6.88671875" style="69" customWidth="1"/>
    <col min="6146" max="6146" width="23.33203125" style="69" customWidth="1"/>
    <col min="6147" max="6147" width="42.88671875" style="69" customWidth="1"/>
    <col min="6148" max="6148" width="14" style="69" customWidth="1"/>
    <col min="6149" max="6149" width="14.109375" style="69" customWidth="1"/>
    <col min="6150" max="6150" width="13" style="69" customWidth="1"/>
    <col min="6151" max="6151" width="14" style="69" customWidth="1"/>
    <col min="6152" max="6152" width="15" style="69" customWidth="1"/>
    <col min="6153" max="6153" width="15.21875" style="69" customWidth="1"/>
    <col min="6154" max="6154" width="1.88671875" style="69" customWidth="1"/>
    <col min="6155" max="6155" width="10.5546875" style="69" customWidth="1"/>
    <col min="6156" max="6160" width="8" style="69" customWidth="1"/>
    <col min="6161" max="6400" width="9.109375" style="69" hidden="1"/>
    <col min="6401" max="6401" width="6.88671875" style="69" customWidth="1"/>
    <col min="6402" max="6402" width="23.33203125" style="69" customWidth="1"/>
    <col min="6403" max="6403" width="42.88671875" style="69" customWidth="1"/>
    <col min="6404" max="6404" width="14" style="69" customWidth="1"/>
    <col min="6405" max="6405" width="14.109375" style="69" customWidth="1"/>
    <col min="6406" max="6406" width="13" style="69" customWidth="1"/>
    <col min="6407" max="6407" width="14" style="69" customWidth="1"/>
    <col min="6408" max="6408" width="15" style="69" customWidth="1"/>
    <col min="6409" max="6409" width="15.21875" style="69" customWidth="1"/>
    <col min="6410" max="6410" width="1.88671875" style="69" customWidth="1"/>
    <col min="6411" max="6411" width="10.5546875" style="69" customWidth="1"/>
    <col min="6412" max="6416" width="8" style="69" customWidth="1"/>
    <col min="6417" max="6656" width="9.109375" style="69" hidden="1"/>
    <col min="6657" max="6657" width="6.88671875" style="69" customWidth="1"/>
    <col min="6658" max="6658" width="23.33203125" style="69" customWidth="1"/>
    <col min="6659" max="6659" width="42.88671875" style="69" customWidth="1"/>
    <col min="6660" max="6660" width="14" style="69" customWidth="1"/>
    <col min="6661" max="6661" width="14.109375" style="69" customWidth="1"/>
    <col min="6662" max="6662" width="13" style="69" customWidth="1"/>
    <col min="6663" max="6663" width="14" style="69" customWidth="1"/>
    <col min="6664" max="6664" width="15" style="69" customWidth="1"/>
    <col min="6665" max="6665" width="15.21875" style="69" customWidth="1"/>
    <col min="6666" max="6666" width="1.88671875" style="69" customWidth="1"/>
    <col min="6667" max="6667" width="10.5546875" style="69" customWidth="1"/>
    <col min="6668" max="6672" width="8" style="69" customWidth="1"/>
    <col min="6673" max="6912" width="9.109375" style="69" hidden="1"/>
    <col min="6913" max="6913" width="6.88671875" style="69" customWidth="1"/>
    <col min="6914" max="6914" width="23.33203125" style="69" customWidth="1"/>
    <col min="6915" max="6915" width="42.88671875" style="69" customWidth="1"/>
    <col min="6916" max="6916" width="14" style="69" customWidth="1"/>
    <col min="6917" max="6917" width="14.109375" style="69" customWidth="1"/>
    <col min="6918" max="6918" width="13" style="69" customWidth="1"/>
    <col min="6919" max="6919" width="14" style="69" customWidth="1"/>
    <col min="6920" max="6920" width="15" style="69" customWidth="1"/>
    <col min="6921" max="6921" width="15.21875" style="69" customWidth="1"/>
    <col min="6922" max="6922" width="1.88671875" style="69" customWidth="1"/>
    <col min="6923" max="6923" width="10.5546875" style="69" customWidth="1"/>
    <col min="6924" max="6928" width="8" style="69" customWidth="1"/>
    <col min="6929" max="7168" width="9.109375" style="69" hidden="1"/>
    <col min="7169" max="7169" width="6.88671875" style="69" customWidth="1"/>
    <col min="7170" max="7170" width="23.33203125" style="69" customWidth="1"/>
    <col min="7171" max="7171" width="42.88671875" style="69" customWidth="1"/>
    <col min="7172" max="7172" width="14" style="69" customWidth="1"/>
    <col min="7173" max="7173" width="14.109375" style="69" customWidth="1"/>
    <col min="7174" max="7174" width="13" style="69" customWidth="1"/>
    <col min="7175" max="7175" width="14" style="69" customWidth="1"/>
    <col min="7176" max="7176" width="15" style="69" customWidth="1"/>
    <col min="7177" max="7177" width="15.21875" style="69" customWidth="1"/>
    <col min="7178" max="7178" width="1.88671875" style="69" customWidth="1"/>
    <col min="7179" max="7179" width="10.5546875" style="69" customWidth="1"/>
    <col min="7180" max="7184" width="8" style="69" customWidth="1"/>
    <col min="7185" max="7424" width="9.109375" style="69" hidden="1"/>
    <col min="7425" max="7425" width="6.88671875" style="69" customWidth="1"/>
    <col min="7426" max="7426" width="23.33203125" style="69" customWidth="1"/>
    <col min="7427" max="7427" width="42.88671875" style="69" customWidth="1"/>
    <col min="7428" max="7428" width="14" style="69" customWidth="1"/>
    <col min="7429" max="7429" width="14.109375" style="69" customWidth="1"/>
    <col min="7430" max="7430" width="13" style="69" customWidth="1"/>
    <col min="7431" max="7431" width="14" style="69" customWidth="1"/>
    <col min="7432" max="7432" width="15" style="69" customWidth="1"/>
    <col min="7433" max="7433" width="15.21875" style="69" customWidth="1"/>
    <col min="7434" max="7434" width="1.88671875" style="69" customWidth="1"/>
    <col min="7435" max="7435" width="10.5546875" style="69" customWidth="1"/>
    <col min="7436" max="7440" width="8" style="69" customWidth="1"/>
    <col min="7441" max="7680" width="9.109375" style="69" hidden="1"/>
    <col min="7681" max="7681" width="6.88671875" style="69" customWidth="1"/>
    <col min="7682" max="7682" width="23.33203125" style="69" customWidth="1"/>
    <col min="7683" max="7683" width="42.88671875" style="69" customWidth="1"/>
    <col min="7684" max="7684" width="14" style="69" customWidth="1"/>
    <col min="7685" max="7685" width="14.109375" style="69" customWidth="1"/>
    <col min="7686" max="7686" width="13" style="69" customWidth="1"/>
    <col min="7687" max="7687" width="14" style="69" customWidth="1"/>
    <col min="7688" max="7688" width="15" style="69" customWidth="1"/>
    <col min="7689" max="7689" width="15.21875" style="69" customWidth="1"/>
    <col min="7690" max="7690" width="1.88671875" style="69" customWidth="1"/>
    <col min="7691" max="7691" width="10.5546875" style="69" customWidth="1"/>
    <col min="7692" max="7696" width="8" style="69" customWidth="1"/>
    <col min="7697" max="7936" width="9.109375" style="69" hidden="1"/>
    <col min="7937" max="7937" width="6.88671875" style="69" customWidth="1"/>
    <col min="7938" max="7938" width="23.33203125" style="69" customWidth="1"/>
    <col min="7939" max="7939" width="42.88671875" style="69" customWidth="1"/>
    <col min="7940" max="7940" width="14" style="69" customWidth="1"/>
    <col min="7941" max="7941" width="14.109375" style="69" customWidth="1"/>
    <col min="7942" max="7942" width="13" style="69" customWidth="1"/>
    <col min="7943" max="7943" width="14" style="69" customWidth="1"/>
    <col min="7944" max="7944" width="15" style="69" customWidth="1"/>
    <col min="7945" max="7945" width="15.21875" style="69" customWidth="1"/>
    <col min="7946" max="7946" width="1.88671875" style="69" customWidth="1"/>
    <col min="7947" max="7947" width="10.5546875" style="69" customWidth="1"/>
    <col min="7948" max="7952" width="8" style="69" customWidth="1"/>
    <col min="7953" max="8192" width="9.109375" style="69" hidden="1"/>
    <col min="8193" max="8193" width="6.88671875" style="69" customWidth="1"/>
    <col min="8194" max="8194" width="23.33203125" style="69" customWidth="1"/>
    <col min="8195" max="8195" width="42.88671875" style="69" customWidth="1"/>
    <col min="8196" max="8196" width="14" style="69" customWidth="1"/>
    <col min="8197" max="8197" width="14.109375" style="69" customWidth="1"/>
    <col min="8198" max="8198" width="13" style="69" customWidth="1"/>
    <col min="8199" max="8199" width="14" style="69" customWidth="1"/>
    <col min="8200" max="8200" width="15" style="69" customWidth="1"/>
    <col min="8201" max="8201" width="15.21875" style="69" customWidth="1"/>
    <col min="8202" max="8202" width="1.88671875" style="69" customWidth="1"/>
    <col min="8203" max="8203" width="10.5546875" style="69" customWidth="1"/>
    <col min="8204" max="8208" width="8" style="69" customWidth="1"/>
    <col min="8209" max="8448" width="9.109375" style="69" hidden="1"/>
    <col min="8449" max="8449" width="6.88671875" style="69" customWidth="1"/>
    <col min="8450" max="8450" width="23.33203125" style="69" customWidth="1"/>
    <col min="8451" max="8451" width="42.88671875" style="69" customWidth="1"/>
    <col min="8452" max="8452" width="14" style="69" customWidth="1"/>
    <col min="8453" max="8453" width="14.109375" style="69" customWidth="1"/>
    <col min="8454" max="8454" width="13" style="69" customWidth="1"/>
    <col min="8455" max="8455" width="14" style="69" customWidth="1"/>
    <col min="8456" max="8456" width="15" style="69" customWidth="1"/>
    <col min="8457" max="8457" width="15.21875" style="69" customWidth="1"/>
    <col min="8458" max="8458" width="1.88671875" style="69" customWidth="1"/>
    <col min="8459" max="8459" width="10.5546875" style="69" customWidth="1"/>
    <col min="8460" max="8464" width="8" style="69" customWidth="1"/>
    <col min="8465" max="8704" width="9.109375" style="69" hidden="1"/>
    <col min="8705" max="8705" width="6.88671875" style="69" customWidth="1"/>
    <col min="8706" max="8706" width="23.33203125" style="69" customWidth="1"/>
    <col min="8707" max="8707" width="42.88671875" style="69" customWidth="1"/>
    <col min="8708" max="8708" width="14" style="69" customWidth="1"/>
    <col min="8709" max="8709" width="14.109375" style="69" customWidth="1"/>
    <col min="8710" max="8710" width="13" style="69" customWidth="1"/>
    <col min="8711" max="8711" width="14" style="69" customWidth="1"/>
    <col min="8712" max="8712" width="15" style="69" customWidth="1"/>
    <col min="8713" max="8713" width="15.21875" style="69" customWidth="1"/>
    <col min="8714" max="8714" width="1.88671875" style="69" customWidth="1"/>
    <col min="8715" max="8715" width="10.5546875" style="69" customWidth="1"/>
    <col min="8716" max="8720" width="8" style="69" customWidth="1"/>
    <col min="8721" max="8960" width="9.109375" style="69" hidden="1"/>
    <col min="8961" max="8961" width="6.88671875" style="69" customWidth="1"/>
    <col min="8962" max="8962" width="23.33203125" style="69" customWidth="1"/>
    <col min="8963" max="8963" width="42.88671875" style="69" customWidth="1"/>
    <col min="8964" max="8964" width="14" style="69" customWidth="1"/>
    <col min="8965" max="8965" width="14.109375" style="69" customWidth="1"/>
    <col min="8966" max="8966" width="13" style="69" customWidth="1"/>
    <col min="8967" max="8967" width="14" style="69" customWidth="1"/>
    <col min="8968" max="8968" width="15" style="69" customWidth="1"/>
    <col min="8969" max="8969" width="15.21875" style="69" customWidth="1"/>
    <col min="8970" max="8970" width="1.88671875" style="69" customWidth="1"/>
    <col min="8971" max="8971" width="10.5546875" style="69" customWidth="1"/>
    <col min="8972" max="8976" width="8" style="69" customWidth="1"/>
    <col min="8977" max="9216" width="9.109375" style="69" hidden="1"/>
    <col min="9217" max="9217" width="6.88671875" style="69" customWidth="1"/>
    <col min="9218" max="9218" width="23.33203125" style="69" customWidth="1"/>
    <col min="9219" max="9219" width="42.88671875" style="69" customWidth="1"/>
    <col min="9220" max="9220" width="14" style="69" customWidth="1"/>
    <col min="9221" max="9221" width="14.109375" style="69" customWidth="1"/>
    <col min="9222" max="9222" width="13" style="69" customWidth="1"/>
    <col min="9223" max="9223" width="14" style="69" customWidth="1"/>
    <col min="9224" max="9224" width="15" style="69" customWidth="1"/>
    <col min="9225" max="9225" width="15.21875" style="69" customWidth="1"/>
    <col min="9226" max="9226" width="1.88671875" style="69" customWidth="1"/>
    <col min="9227" max="9227" width="10.5546875" style="69" customWidth="1"/>
    <col min="9228" max="9232" width="8" style="69" customWidth="1"/>
    <col min="9233" max="9472" width="9.109375" style="69" hidden="1"/>
    <col min="9473" max="9473" width="6.88671875" style="69" customWidth="1"/>
    <col min="9474" max="9474" width="23.33203125" style="69" customWidth="1"/>
    <col min="9475" max="9475" width="42.88671875" style="69" customWidth="1"/>
    <col min="9476" max="9476" width="14" style="69" customWidth="1"/>
    <col min="9477" max="9477" width="14.109375" style="69" customWidth="1"/>
    <col min="9478" max="9478" width="13" style="69" customWidth="1"/>
    <col min="9479" max="9479" width="14" style="69" customWidth="1"/>
    <col min="9480" max="9480" width="15" style="69" customWidth="1"/>
    <col min="9481" max="9481" width="15.21875" style="69" customWidth="1"/>
    <col min="9482" max="9482" width="1.88671875" style="69" customWidth="1"/>
    <col min="9483" max="9483" width="10.5546875" style="69" customWidth="1"/>
    <col min="9484" max="9488" width="8" style="69" customWidth="1"/>
    <col min="9489" max="9728" width="9.109375" style="69" hidden="1"/>
    <col min="9729" max="9729" width="6.88671875" style="69" customWidth="1"/>
    <col min="9730" max="9730" width="23.33203125" style="69" customWidth="1"/>
    <col min="9731" max="9731" width="42.88671875" style="69" customWidth="1"/>
    <col min="9732" max="9732" width="14" style="69" customWidth="1"/>
    <col min="9733" max="9733" width="14.109375" style="69" customWidth="1"/>
    <col min="9734" max="9734" width="13" style="69" customWidth="1"/>
    <col min="9735" max="9735" width="14" style="69" customWidth="1"/>
    <col min="9736" max="9736" width="15" style="69" customWidth="1"/>
    <col min="9737" max="9737" width="15.21875" style="69" customWidth="1"/>
    <col min="9738" max="9738" width="1.88671875" style="69" customWidth="1"/>
    <col min="9739" max="9739" width="10.5546875" style="69" customWidth="1"/>
    <col min="9740" max="9744" width="8" style="69" customWidth="1"/>
    <col min="9745" max="9984" width="9.109375" style="69" hidden="1"/>
    <col min="9985" max="9985" width="6.88671875" style="69" customWidth="1"/>
    <col min="9986" max="9986" width="23.33203125" style="69" customWidth="1"/>
    <col min="9987" max="9987" width="42.88671875" style="69" customWidth="1"/>
    <col min="9988" max="9988" width="14" style="69" customWidth="1"/>
    <col min="9989" max="9989" width="14.109375" style="69" customWidth="1"/>
    <col min="9990" max="9990" width="13" style="69" customWidth="1"/>
    <col min="9991" max="9991" width="14" style="69" customWidth="1"/>
    <col min="9992" max="9992" width="15" style="69" customWidth="1"/>
    <col min="9993" max="9993" width="15.21875" style="69" customWidth="1"/>
    <col min="9994" max="9994" width="1.88671875" style="69" customWidth="1"/>
    <col min="9995" max="9995" width="10.5546875" style="69" customWidth="1"/>
    <col min="9996" max="10000" width="8" style="69" customWidth="1"/>
    <col min="10001" max="10240" width="9.109375" style="69" hidden="1"/>
    <col min="10241" max="10241" width="6.88671875" style="69" customWidth="1"/>
    <col min="10242" max="10242" width="23.33203125" style="69" customWidth="1"/>
    <col min="10243" max="10243" width="42.88671875" style="69" customWidth="1"/>
    <col min="10244" max="10244" width="14" style="69" customWidth="1"/>
    <col min="10245" max="10245" width="14.109375" style="69" customWidth="1"/>
    <col min="10246" max="10246" width="13" style="69" customWidth="1"/>
    <col min="10247" max="10247" width="14" style="69" customWidth="1"/>
    <col min="10248" max="10248" width="15" style="69" customWidth="1"/>
    <col min="10249" max="10249" width="15.21875" style="69" customWidth="1"/>
    <col min="10250" max="10250" width="1.88671875" style="69" customWidth="1"/>
    <col min="10251" max="10251" width="10.5546875" style="69" customWidth="1"/>
    <col min="10252" max="10256" width="8" style="69" customWidth="1"/>
    <col min="10257" max="10496" width="9.109375" style="69" hidden="1"/>
    <col min="10497" max="10497" width="6.88671875" style="69" customWidth="1"/>
    <col min="10498" max="10498" width="23.33203125" style="69" customWidth="1"/>
    <col min="10499" max="10499" width="42.88671875" style="69" customWidth="1"/>
    <col min="10500" max="10500" width="14" style="69" customWidth="1"/>
    <col min="10501" max="10501" width="14.109375" style="69" customWidth="1"/>
    <col min="10502" max="10502" width="13" style="69" customWidth="1"/>
    <col min="10503" max="10503" width="14" style="69" customWidth="1"/>
    <col min="10504" max="10504" width="15" style="69" customWidth="1"/>
    <col min="10505" max="10505" width="15.21875" style="69" customWidth="1"/>
    <col min="10506" max="10506" width="1.88671875" style="69" customWidth="1"/>
    <col min="10507" max="10507" width="10.5546875" style="69" customWidth="1"/>
    <col min="10508" max="10512" width="8" style="69" customWidth="1"/>
    <col min="10513" max="10752" width="9.109375" style="69" hidden="1"/>
    <col min="10753" max="10753" width="6.88671875" style="69" customWidth="1"/>
    <col min="10754" max="10754" width="23.33203125" style="69" customWidth="1"/>
    <col min="10755" max="10755" width="42.88671875" style="69" customWidth="1"/>
    <col min="10756" max="10756" width="14" style="69" customWidth="1"/>
    <col min="10757" max="10757" width="14.109375" style="69" customWidth="1"/>
    <col min="10758" max="10758" width="13" style="69" customWidth="1"/>
    <col min="10759" max="10759" width="14" style="69" customWidth="1"/>
    <col min="10760" max="10760" width="15" style="69" customWidth="1"/>
    <col min="10761" max="10761" width="15.21875" style="69" customWidth="1"/>
    <col min="10762" max="10762" width="1.88671875" style="69" customWidth="1"/>
    <col min="10763" max="10763" width="10.5546875" style="69" customWidth="1"/>
    <col min="10764" max="10768" width="8" style="69" customWidth="1"/>
    <col min="10769" max="11008" width="9.109375" style="69" hidden="1"/>
    <col min="11009" max="11009" width="6.88671875" style="69" customWidth="1"/>
    <col min="11010" max="11010" width="23.33203125" style="69" customWidth="1"/>
    <col min="11011" max="11011" width="42.88671875" style="69" customWidth="1"/>
    <col min="11012" max="11012" width="14" style="69" customWidth="1"/>
    <col min="11013" max="11013" width="14.109375" style="69" customWidth="1"/>
    <col min="11014" max="11014" width="13" style="69" customWidth="1"/>
    <col min="11015" max="11015" width="14" style="69" customWidth="1"/>
    <col min="11016" max="11016" width="15" style="69" customWidth="1"/>
    <col min="11017" max="11017" width="15.21875" style="69" customWidth="1"/>
    <col min="11018" max="11018" width="1.88671875" style="69" customWidth="1"/>
    <col min="11019" max="11019" width="10.5546875" style="69" customWidth="1"/>
    <col min="11020" max="11024" width="8" style="69" customWidth="1"/>
    <col min="11025" max="11264" width="9.109375" style="69" hidden="1"/>
    <col min="11265" max="11265" width="6.88671875" style="69" customWidth="1"/>
    <col min="11266" max="11266" width="23.33203125" style="69" customWidth="1"/>
    <col min="11267" max="11267" width="42.88671875" style="69" customWidth="1"/>
    <col min="11268" max="11268" width="14" style="69" customWidth="1"/>
    <col min="11269" max="11269" width="14.109375" style="69" customWidth="1"/>
    <col min="11270" max="11270" width="13" style="69" customWidth="1"/>
    <col min="11271" max="11271" width="14" style="69" customWidth="1"/>
    <col min="11272" max="11272" width="15" style="69" customWidth="1"/>
    <col min="11273" max="11273" width="15.21875" style="69" customWidth="1"/>
    <col min="11274" max="11274" width="1.88671875" style="69" customWidth="1"/>
    <col min="11275" max="11275" width="10.5546875" style="69" customWidth="1"/>
    <col min="11276" max="11280" width="8" style="69" customWidth="1"/>
    <col min="11281" max="11520" width="9.109375" style="69" hidden="1"/>
    <col min="11521" max="11521" width="6.88671875" style="69" customWidth="1"/>
    <col min="11522" max="11522" width="23.33203125" style="69" customWidth="1"/>
    <col min="11523" max="11523" width="42.88671875" style="69" customWidth="1"/>
    <col min="11524" max="11524" width="14" style="69" customWidth="1"/>
    <col min="11525" max="11525" width="14.109375" style="69" customWidth="1"/>
    <col min="11526" max="11526" width="13" style="69" customWidth="1"/>
    <col min="11527" max="11527" width="14" style="69" customWidth="1"/>
    <col min="11528" max="11528" width="15" style="69" customWidth="1"/>
    <col min="11529" max="11529" width="15.21875" style="69" customWidth="1"/>
    <col min="11530" max="11530" width="1.88671875" style="69" customWidth="1"/>
    <col min="11531" max="11531" width="10.5546875" style="69" customWidth="1"/>
    <col min="11532" max="11536" width="8" style="69" customWidth="1"/>
    <col min="11537" max="11776" width="9.109375" style="69" hidden="1"/>
    <col min="11777" max="11777" width="6.88671875" style="69" customWidth="1"/>
    <col min="11778" max="11778" width="23.33203125" style="69" customWidth="1"/>
    <col min="11779" max="11779" width="42.88671875" style="69" customWidth="1"/>
    <col min="11780" max="11780" width="14" style="69" customWidth="1"/>
    <col min="11781" max="11781" width="14.109375" style="69" customWidth="1"/>
    <col min="11782" max="11782" width="13" style="69" customWidth="1"/>
    <col min="11783" max="11783" width="14" style="69" customWidth="1"/>
    <col min="11784" max="11784" width="15" style="69" customWidth="1"/>
    <col min="11785" max="11785" width="15.21875" style="69" customWidth="1"/>
    <col min="11786" max="11786" width="1.88671875" style="69" customWidth="1"/>
    <col min="11787" max="11787" width="10.5546875" style="69" customWidth="1"/>
    <col min="11788" max="11792" width="8" style="69" customWidth="1"/>
    <col min="11793" max="12032" width="9.109375" style="69" hidden="1"/>
    <col min="12033" max="12033" width="6.88671875" style="69" customWidth="1"/>
    <col min="12034" max="12034" width="23.33203125" style="69" customWidth="1"/>
    <col min="12035" max="12035" width="42.88671875" style="69" customWidth="1"/>
    <col min="12036" max="12036" width="14" style="69" customWidth="1"/>
    <col min="12037" max="12037" width="14.109375" style="69" customWidth="1"/>
    <col min="12038" max="12038" width="13" style="69" customWidth="1"/>
    <col min="12039" max="12039" width="14" style="69" customWidth="1"/>
    <col min="12040" max="12040" width="15" style="69" customWidth="1"/>
    <col min="12041" max="12041" width="15.21875" style="69" customWidth="1"/>
    <col min="12042" max="12042" width="1.88671875" style="69" customWidth="1"/>
    <col min="12043" max="12043" width="10.5546875" style="69" customWidth="1"/>
    <col min="12044" max="12048" width="8" style="69" customWidth="1"/>
    <col min="12049" max="12288" width="9.109375" style="69" hidden="1"/>
    <col min="12289" max="12289" width="6.88671875" style="69" customWidth="1"/>
    <col min="12290" max="12290" width="23.33203125" style="69" customWidth="1"/>
    <col min="12291" max="12291" width="42.88671875" style="69" customWidth="1"/>
    <col min="12292" max="12292" width="14" style="69" customWidth="1"/>
    <col min="12293" max="12293" width="14.109375" style="69" customWidth="1"/>
    <col min="12294" max="12294" width="13" style="69" customWidth="1"/>
    <col min="12295" max="12295" width="14" style="69" customWidth="1"/>
    <col min="12296" max="12296" width="15" style="69" customWidth="1"/>
    <col min="12297" max="12297" width="15.21875" style="69" customWidth="1"/>
    <col min="12298" max="12298" width="1.88671875" style="69" customWidth="1"/>
    <col min="12299" max="12299" width="10.5546875" style="69" customWidth="1"/>
    <col min="12300" max="12304" width="8" style="69" customWidth="1"/>
    <col min="12305" max="12544" width="9.109375" style="69" hidden="1"/>
    <col min="12545" max="12545" width="6.88671875" style="69" customWidth="1"/>
    <col min="12546" max="12546" width="23.33203125" style="69" customWidth="1"/>
    <col min="12547" max="12547" width="42.88671875" style="69" customWidth="1"/>
    <col min="12548" max="12548" width="14" style="69" customWidth="1"/>
    <col min="12549" max="12549" width="14.109375" style="69" customWidth="1"/>
    <col min="12550" max="12550" width="13" style="69" customWidth="1"/>
    <col min="12551" max="12551" width="14" style="69" customWidth="1"/>
    <col min="12552" max="12552" width="15" style="69" customWidth="1"/>
    <col min="12553" max="12553" width="15.21875" style="69" customWidth="1"/>
    <col min="12554" max="12554" width="1.88671875" style="69" customWidth="1"/>
    <col min="12555" max="12555" width="10.5546875" style="69" customWidth="1"/>
    <col min="12556" max="12560" width="8" style="69" customWidth="1"/>
    <col min="12561" max="12800" width="9.109375" style="69" hidden="1"/>
    <col min="12801" max="12801" width="6.88671875" style="69" customWidth="1"/>
    <col min="12802" max="12802" width="23.33203125" style="69" customWidth="1"/>
    <col min="12803" max="12803" width="42.88671875" style="69" customWidth="1"/>
    <col min="12804" max="12804" width="14" style="69" customWidth="1"/>
    <col min="12805" max="12805" width="14.109375" style="69" customWidth="1"/>
    <col min="12806" max="12806" width="13" style="69" customWidth="1"/>
    <col min="12807" max="12807" width="14" style="69" customWidth="1"/>
    <col min="12808" max="12808" width="15" style="69" customWidth="1"/>
    <col min="12809" max="12809" width="15.21875" style="69" customWidth="1"/>
    <col min="12810" max="12810" width="1.88671875" style="69" customWidth="1"/>
    <col min="12811" max="12811" width="10.5546875" style="69" customWidth="1"/>
    <col min="12812" max="12816" width="8" style="69" customWidth="1"/>
    <col min="12817" max="13056" width="9.109375" style="69" hidden="1"/>
    <col min="13057" max="13057" width="6.88671875" style="69" customWidth="1"/>
    <col min="13058" max="13058" width="23.33203125" style="69" customWidth="1"/>
    <col min="13059" max="13059" width="42.88671875" style="69" customWidth="1"/>
    <col min="13060" max="13060" width="14" style="69" customWidth="1"/>
    <col min="13061" max="13061" width="14.109375" style="69" customWidth="1"/>
    <col min="13062" max="13062" width="13" style="69" customWidth="1"/>
    <col min="13063" max="13063" width="14" style="69" customWidth="1"/>
    <col min="13064" max="13064" width="15" style="69" customWidth="1"/>
    <col min="13065" max="13065" width="15.21875" style="69" customWidth="1"/>
    <col min="13066" max="13066" width="1.88671875" style="69" customWidth="1"/>
    <col min="13067" max="13067" width="10.5546875" style="69" customWidth="1"/>
    <col min="13068" max="13072" width="8" style="69" customWidth="1"/>
    <col min="13073" max="13312" width="9.109375" style="69" hidden="1"/>
    <col min="13313" max="13313" width="6.88671875" style="69" customWidth="1"/>
    <col min="13314" max="13314" width="23.33203125" style="69" customWidth="1"/>
    <col min="13315" max="13315" width="42.88671875" style="69" customWidth="1"/>
    <col min="13316" max="13316" width="14" style="69" customWidth="1"/>
    <col min="13317" max="13317" width="14.109375" style="69" customWidth="1"/>
    <col min="13318" max="13318" width="13" style="69" customWidth="1"/>
    <col min="13319" max="13319" width="14" style="69" customWidth="1"/>
    <col min="13320" max="13320" width="15" style="69" customWidth="1"/>
    <col min="13321" max="13321" width="15.21875" style="69" customWidth="1"/>
    <col min="13322" max="13322" width="1.88671875" style="69" customWidth="1"/>
    <col min="13323" max="13323" width="10.5546875" style="69" customWidth="1"/>
    <col min="13324" max="13328" width="8" style="69" customWidth="1"/>
    <col min="13329" max="13568" width="9.109375" style="69" hidden="1"/>
    <col min="13569" max="13569" width="6.88671875" style="69" customWidth="1"/>
    <col min="13570" max="13570" width="23.33203125" style="69" customWidth="1"/>
    <col min="13571" max="13571" width="42.88671875" style="69" customWidth="1"/>
    <col min="13572" max="13572" width="14" style="69" customWidth="1"/>
    <col min="13573" max="13573" width="14.109375" style="69" customWidth="1"/>
    <col min="13574" max="13574" width="13" style="69" customWidth="1"/>
    <col min="13575" max="13575" width="14" style="69" customWidth="1"/>
    <col min="13576" max="13576" width="15" style="69" customWidth="1"/>
    <col min="13577" max="13577" width="15.21875" style="69" customWidth="1"/>
    <col min="13578" max="13578" width="1.88671875" style="69" customWidth="1"/>
    <col min="13579" max="13579" width="10.5546875" style="69" customWidth="1"/>
    <col min="13580" max="13584" width="8" style="69" customWidth="1"/>
    <col min="13585" max="13824" width="9.109375" style="69" hidden="1"/>
    <col min="13825" max="13825" width="6.88671875" style="69" customWidth="1"/>
    <col min="13826" max="13826" width="23.33203125" style="69" customWidth="1"/>
    <col min="13827" max="13827" width="42.88671875" style="69" customWidth="1"/>
    <col min="13828" max="13828" width="14" style="69" customWidth="1"/>
    <col min="13829" max="13829" width="14.109375" style="69" customWidth="1"/>
    <col min="13830" max="13830" width="13" style="69" customWidth="1"/>
    <col min="13831" max="13831" width="14" style="69" customWidth="1"/>
    <col min="13832" max="13832" width="15" style="69" customWidth="1"/>
    <col min="13833" max="13833" width="15.21875" style="69" customWidth="1"/>
    <col min="13834" max="13834" width="1.88671875" style="69" customWidth="1"/>
    <col min="13835" max="13835" width="10.5546875" style="69" customWidth="1"/>
    <col min="13836" max="13840" width="8" style="69" customWidth="1"/>
    <col min="13841" max="14080" width="9.109375" style="69" hidden="1"/>
    <col min="14081" max="14081" width="6.88671875" style="69" customWidth="1"/>
    <col min="14082" max="14082" width="23.33203125" style="69" customWidth="1"/>
    <col min="14083" max="14083" width="42.88671875" style="69" customWidth="1"/>
    <col min="14084" max="14084" width="14" style="69" customWidth="1"/>
    <col min="14085" max="14085" width="14.109375" style="69" customWidth="1"/>
    <col min="14086" max="14086" width="13" style="69" customWidth="1"/>
    <col min="14087" max="14087" width="14" style="69" customWidth="1"/>
    <col min="14088" max="14088" width="15" style="69" customWidth="1"/>
    <col min="14089" max="14089" width="15.21875" style="69" customWidth="1"/>
    <col min="14090" max="14090" width="1.88671875" style="69" customWidth="1"/>
    <col min="14091" max="14091" width="10.5546875" style="69" customWidth="1"/>
    <col min="14092" max="14096" width="8" style="69" customWidth="1"/>
    <col min="14097" max="14336" width="9.109375" style="69" hidden="1"/>
    <col min="14337" max="14337" width="6.88671875" style="69" customWidth="1"/>
    <col min="14338" max="14338" width="23.33203125" style="69" customWidth="1"/>
    <col min="14339" max="14339" width="42.88671875" style="69" customWidth="1"/>
    <col min="14340" max="14340" width="14" style="69" customWidth="1"/>
    <col min="14341" max="14341" width="14.109375" style="69" customWidth="1"/>
    <col min="14342" max="14342" width="13" style="69" customWidth="1"/>
    <col min="14343" max="14343" width="14" style="69" customWidth="1"/>
    <col min="14344" max="14344" width="15" style="69" customWidth="1"/>
    <col min="14345" max="14345" width="15.21875" style="69" customWidth="1"/>
    <col min="14346" max="14346" width="1.88671875" style="69" customWidth="1"/>
    <col min="14347" max="14347" width="10.5546875" style="69" customWidth="1"/>
    <col min="14348" max="14352" width="8" style="69" customWidth="1"/>
    <col min="14353" max="14592" width="9.109375" style="69" hidden="1"/>
    <col min="14593" max="14593" width="6.88671875" style="69" customWidth="1"/>
    <col min="14594" max="14594" width="23.33203125" style="69" customWidth="1"/>
    <col min="14595" max="14595" width="42.88671875" style="69" customWidth="1"/>
    <col min="14596" max="14596" width="14" style="69" customWidth="1"/>
    <col min="14597" max="14597" width="14.109375" style="69" customWidth="1"/>
    <col min="14598" max="14598" width="13" style="69" customWidth="1"/>
    <col min="14599" max="14599" width="14" style="69" customWidth="1"/>
    <col min="14600" max="14600" width="15" style="69" customWidth="1"/>
    <col min="14601" max="14601" width="15.21875" style="69" customWidth="1"/>
    <col min="14602" max="14602" width="1.88671875" style="69" customWidth="1"/>
    <col min="14603" max="14603" width="10.5546875" style="69" customWidth="1"/>
    <col min="14604" max="14608" width="8" style="69" customWidth="1"/>
    <col min="14609" max="14848" width="9.109375" style="69" hidden="1"/>
    <col min="14849" max="14849" width="6.88671875" style="69" customWidth="1"/>
    <col min="14850" max="14850" width="23.33203125" style="69" customWidth="1"/>
    <col min="14851" max="14851" width="42.88671875" style="69" customWidth="1"/>
    <col min="14852" max="14852" width="14" style="69" customWidth="1"/>
    <col min="14853" max="14853" width="14.109375" style="69" customWidth="1"/>
    <col min="14854" max="14854" width="13" style="69" customWidth="1"/>
    <col min="14855" max="14855" width="14" style="69" customWidth="1"/>
    <col min="14856" max="14856" width="15" style="69" customWidth="1"/>
    <col min="14857" max="14857" width="15.21875" style="69" customWidth="1"/>
    <col min="14858" max="14858" width="1.88671875" style="69" customWidth="1"/>
    <col min="14859" max="14859" width="10.5546875" style="69" customWidth="1"/>
    <col min="14860" max="14864" width="8" style="69" customWidth="1"/>
    <col min="14865" max="15104" width="9.109375" style="69" hidden="1"/>
    <col min="15105" max="15105" width="6.88671875" style="69" customWidth="1"/>
    <col min="15106" max="15106" width="23.33203125" style="69" customWidth="1"/>
    <col min="15107" max="15107" width="42.88671875" style="69" customWidth="1"/>
    <col min="15108" max="15108" width="14" style="69" customWidth="1"/>
    <col min="15109" max="15109" width="14.109375" style="69" customWidth="1"/>
    <col min="15110" max="15110" width="13" style="69" customWidth="1"/>
    <col min="15111" max="15111" width="14" style="69" customWidth="1"/>
    <col min="15112" max="15112" width="15" style="69" customWidth="1"/>
    <col min="15113" max="15113" width="15.21875" style="69" customWidth="1"/>
    <col min="15114" max="15114" width="1.88671875" style="69" customWidth="1"/>
    <col min="15115" max="15115" width="10.5546875" style="69" customWidth="1"/>
    <col min="15116" max="15120" width="8" style="69" customWidth="1"/>
    <col min="15121" max="15360" width="9.109375" style="69" hidden="1"/>
    <col min="15361" max="15361" width="6.88671875" style="69" customWidth="1"/>
    <col min="15362" max="15362" width="23.33203125" style="69" customWidth="1"/>
    <col min="15363" max="15363" width="42.88671875" style="69" customWidth="1"/>
    <col min="15364" max="15364" width="14" style="69" customWidth="1"/>
    <col min="15365" max="15365" width="14.109375" style="69" customWidth="1"/>
    <col min="15366" max="15366" width="13" style="69" customWidth="1"/>
    <col min="15367" max="15367" width="14" style="69" customWidth="1"/>
    <col min="15368" max="15368" width="15" style="69" customWidth="1"/>
    <col min="15369" max="15369" width="15.21875" style="69" customWidth="1"/>
    <col min="15370" max="15370" width="1.88671875" style="69" customWidth="1"/>
    <col min="15371" max="15371" width="10.5546875" style="69" customWidth="1"/>
    <col min="15372" max="15376" width="8" style="69" customWidth="1"/>
    <col min="15377" max="15616" width="9.109375" style="69" hidden="1"/>
    <col min="15617" max="15617" width="6.88671875" style="69" customWidth="1"/>
    <col min="15618" max="15618" width="23.33203125" style="69" customWidth="1"/>
    <col min="15619" max="15619" width="42.88671875" style="69" customWidth="1"/>
    <col min="15620" max="15620" width="14" style="69" customWidth="1"/>
    <col min="15621" max="15621" width="14.109375" style="69" customWidth="1"/>
    <col min="15622" max="15622" width="13" style="69" customWidth="1"/>
    <col min="15623" max="15623" width="14" style="69" customWidth="1"/>
    <col min="15624" max="15624" width="15" style="69" customWidth="1"/>
    <col min="15625" max="15625" width="15.21875" style="69" customWidth="1"/>
    <col min="15626" max="15626" width="1.88671875" style="69" customWidth="1"/>
    <col min="15627" max="15627" width="10.5546875" style="69" customWidth="1"/>
    <col min="15628" max="15632" width="8" style="69" customWidth="1"/>
    <col min="15633" max="15872" width="9.109375" style="69" hidden="1"/>
    <col min="15873" max="15873" width="6.88671875" style="69" customWidth="1"/>
    <col min="15874" max="15874" width="23.33203125" style="69" customWidth="1"/>
    <col min="15875" max="15875" width="42.88671875" style="69" customWidth="1"/>
    <col min="15876" max="15876" width="14" style="69" customWidth="1"/>
    <col min="15877" max="15877" width="14.109375" style="69" customWidth="1"/>
    <col min="15878" max="15878" width="13" style="69" customWidth="1"/>
    <col min="15879" max="15879" width="14" style="69" customWidth="1"/>
    <col min="15880" max="15880" width="15" style="69" customWidth="1"/>
    <col min="15881" max="15881" width="15.21875" style="69" customWidth="1"/>
    <col min="15882" max="15882" width="1.88671875" style="69" customWidth="1"/>
    <col min="15883" max="15883" width="10.5546875" style="69" customWidth="1"/>
    <col min="15884" max="15888" width="8" style="69" customWidth="1"/>
    <col min="15889" max="16128" width="9.109375" style="69" hidden="1"/>
    <col min="16129" max="16129" width="6.88671875" style="69" customWidth="1"/>
    <col min="16130" max="16130" width="23.33203125" style="69" customWidth="1"/>
    <col min="16131" max="16131" width="42.88671875" style="69" customWidth="1"/>
    <col min="16132" max="16132" width="14" style="69" customWidth="1"/>
    <col min="16133" max="16133" width="14.109375" style="69" customWidth="1"/>
    <col min="16134" max="16134" width="13" style="69" customWidth="1"/>
    <col min="16135" max="16135" width="14" style="69" customWidth="1"/>
    <col min="16136" max="16136" width="15" style="69" customWidth="1"/>
    <col min="16137" max="16137" width="15.21875" style="69" customWidth="1"/>
    <col min="16138" max="16138" width="1.88671875" style="69" customWidth="1"/>
    <col min="16139" max="16139" width="10.5546875" style="69" customWidth="1"/>
    <col min="16140" max="16144" width="8" style="69" customWidth="1"/>
    <col min="16145" max="16145" width="0" style="69" hidden="1"/>
    <col min="16146" max="16384" width="9.109375" style="69" hidden="1"/>
  </cols>
  <sheetData>
    <row r="1" spans="1:1294" s="226" customFormat="1" ht="21.6" customHeight="1">
      <c r="A1" s="523" t="s">
        <v>74</v>
      </c>
      <c r="B1" s="523"/>
      <c r="C1" s="523"/>
      <c r="D1" s="523"/>
      <c r="E1" s="523"/>
      <c r="F1" s="523"/>
      <c r="G1" s="523"/>
      <c r="H1" s="523"/>
    </row>
    <row r="2" spans="1:1294" s="226" customFormat="1" ht="21.6" customHeight="1">
      <c r="A2" s="524" t="s">
        <v>130</v>
      </c>
      <c r="B2" s="524"/>
      <c r="C2" s="524"/>
      <c r="D2" s="524"/>
      <c r="E2" s="524"/>
      <c r="F2" s="524"/>
      <c r="G2" s="524"/>
      <c r="H2" s="524"/>
    </row>
    <row r="3" spans="1:1294" s="226" customFormat="1" ht="20.399999999999999" customHeight="1">
      <c r="A3" s="226" t="s">
        <v>8</v>
      </c>
      <c r="E3" s="232"/>
      <c r="F3" s="232"/>
      <c r="G3" s="360">
        <v>0</v>
      </c>
      <c r="H3" s="232"/>
    </row>
    <row r="4" spans="1:1294" s="56" customFormat="1" ht="36.6" customHeight="1">
      <c r="A4" s="57" t="s">
        <v>0</v>
      </c>
      <c r="B4" s="57" t="s">
        <v>2</v>
      </c>
      <c r="C4" s="57" t="s">
        <v>6</v>
      </c>
      <c r="D4" s="57" t="s">
        <v>9</v>
      </c>
      <c r="E4" s="59" t="s">
        <v>26</v>
      </c>
      <c r="F4" s="58" t="s">
        <v>3</v>
      </c>
      <c r="G4" s="59" t="s">
        <v>10</v>
      </c>
      <c r="H4" s="60" t="s">
        <v>4</v>
      </c>
    </row>
    <row r="5" spans="1:1294" s="56" customFormat="1" ht="19.05" customHeight="1">
      <c r="A5" s="61">
        <v>1</v>
      </c>
      <c r="B5" s="525" t="s">
        <v>19</v>
      </c>
      <c r="C5" s="83" t="s">
        <v>82</v>
      </c>
      <c r="D5" s="519" t="s">
        <v>76</v>
      </c>
      <c r="E5" s="90">
        <f>COUNTIFS(Table13514520105[[#All],[Sales]],"คุณนิมิต จุ้ยอยู่ทอง",Table13514520105[[#All],[รายการเบิก
คอมขาย]],"&gt;0")</f>
        <v>1</v>
      </c>
      <c r="F5" s="70">
        <f>SUMIF(Table13514520105[[#All],[Sales]],"คุณนิมิต จุ้ยอยู่ทอง",Table13514520105[[#All],[รายการเบิก
คอมขาย]])</f>
        <v>4542.0600000000004</v>
      </c>
      <c r="G5" s="86">
        <f t="shared" ref="G5:G16" si="0">F5*$G$3</f>
        <v>0</v>
      </c>
      <c r="H5" s="86">
        <f>SUM(F5-G5)</f>
        <v>4542.0600000000004</v>
      </c>
      <c r="I5" s="174"/>
      <c r="J5" s="87"/>
    </row>
    <row r="6" spans="1:1294" s="56" customFormat="1" ht="19.05" customHeight="1">
      <c r="A6" s="61"/>
      <c r="B6" s="526"/>
      <c r="C6" s="83" t="s">
        <v>83</v>
      </c>
      <c r="D6" s="534"/>
      <c r="E6" s="90">
        <f>COUNTIFS(Table13514520105[[#All],[Sales]],"คุณธวัช มีแสง",Table13514520105[[#All],[รายการเบิก
คอมขาย]],"&gt;0")</f>
        <v>0</v>
      </c>
      <c r="F6" s="70">
        <f>SUMIF(Table13514520105[[#All],[Sales]],"คุณธวัช มีแสง",Table13514520105[[#All],[รายการเบิก
คอมขาย]])</f>
        <v>0</v>
      </c>
      <c r="G6" s="86">
        <f t="shared" si="0"/>
        <v>0</v>
      </c>
      <c r="H6" s="86">
        <f t="shared" ref="H6:H7" si="1">SUM(F6-G6)</f>
        <v>0</v>
      </c>
      <c r="I6" s="62"/>
      <c r="J6" s="88"/>
    </row>
    <row r="7" spans="1:1294" s="56" customFormat="1" ht="19.05" customHeight="1">
      <c r="A7" s="61"/>
      <c r="B7" s="526"/>
      <c r="C7" s="83" t="s">
        <v>84</v>
      </c>
      <c r="D7" s="534"/>
      <c r="E7" s="90">
        <f>COUNTIFS(Table13514520105[[#All],[Sales]],"คุณแดง มูลสองแคว",Table13514520105[[#All],[รายการเบิก
คอมขาย]],"&gt;0")</f>
        <v>1</v>
      </c>
      <c r="F7" s="70">
        <f>SUMIF(Table13514520105[[#All],[Sales]],"คุณแดง มูลสองแคว",Table13514520105[[#All],[รายการเบิก
คอมขาย]])</f>
        <v>4000</v>
      </c>
      <c r="G7" s="86">
        <f t="shared" si="0"/>
        <v>0</v>
      </c>
      <c r="H7" s="86">
        <f t="shared" si="1"/>
        <v>4000</v>
      </c>
      <c r="I7" s="62"/>
      <c r="J7" s="88"/>
    </row>
    <row r="8" spans="1:1294" s="56" customFormat="1" ht="19.05" customHeight="1">
      <c r="A8" s="61"/>
      <c r="B8" s="526"/>
      <c r="C8" s="171" t="s">
        <v>85</v>
      </c>
      <c r="D8" s="534"/>
      <c r="E8" s="90">
        <f>COUNTIFS(Table13514520105[[#All],[Sales]],"คุณนิยนต์ อยู่ทะเล",Table13514520105[[#All],[รายการเบิก
คอมขาย]],"&gt;0")</f>
        <v>0</v>
      </c>
      <c r="F8" s="70">
        <f>SUMIF(Table13514520105[[#All],[Sales]],"คุณนิยนต์ อยู่ทะเล",Table13514520105[[#All],[รายการเบิก
คอมขาย]])</f>
        <v>0</v>
      </c>
      <c r="G8" s="86">
        <f t="shared" ref="G8" si="2">F8*$G$3</f>
        <v>0</v>
      </c>
      <c r="H8" s="86">
        <f t="shared" ref="H8" si="3">SUM(F8-G8)</f>
        <v>0</v>
      </c>
      <c r="I8" s="62"/>
      <c r="J8" s="88"/>
    </row>
    <row r="9" spans="1:1294" s="56" customFormat="1" ht="19.05" customHeight="1">
      <c r="A9" s="61"/>
      <c r="B9" s="526"/>
      <c r="C9" s="179" t="s">
        <v>78</v>
      </c>
      <c r="D9" s="534"/>
      <c r="E9" s="90">
        <f>COUNTIFS(Table13514520105[[#All],[Sales]],"คุณรุ่งอรุณ อินบุญรอด",Table13514520105[[#All],[รายการเบิก
คอมขาย]],"&gt;0")</f>
        <v>1</v>
      </c>
      <c r="F9" s="70">
        <f>SUMIF(Table13514520105[[#All],[Sales]],"คุณรุ่งอรุณ อินบุญรอด",Table13514520105[[#All],[รายการเบิก
คอมขาย]])</f>
        <v>3500</v>
      </c>
      <c r="G9" s="86">
        <f t="shared" ref="G9" si="4">F9*$G$3</f>
        <v>0</v>
      </c>
      <c r="H9" s="86">
        <f t="shared" ref="H9" si="5">SUM(F9-G9)</f>
        <v>3500</v>
      </c>
      <c r="I9" s="62"/>
      <c r="J9" s="88"/>
    </row>
    <row r="10" spans="1:1294" s="56" customFormat="1" ht="19.05" customHeight="1">
      <c r="A10" s="61"/>
      <c r="B10" s="526"/>
      <c r="C10" s="179" t="s">
        <v>79</v>
      </c>
      <c r="D10" s="534"/>
      <c r="E10" s="90">
        <f>COUNTIFS(Table13514520105[[#All],[Sales]],"คุณศศินาถ จุ้ยอยู่ทอง",Table13514520105[[#All],[รายการเบิก
คอมขาย]],"&gt;0")</f>
        <v>1</v>
      </c>
      <c r="F10" s="70">
        <f>SUMIF(Table13514520105[[#All],[Sales]],"คุณศศินาถ จุ้ยอยู่ทอง",Table13514520105[[#All],[รายการเบิก
คอมขาย]])</f>
        <v>6500</v>
      </c>
      <c r="G10" s="86">
        <f t="shared" ref="G10" si="6">F10*$G$3</f>
        <v>0</v>
      </c>
      <c r="H10" s="86">
        <f t="shared" ref="H10" si="7">SUM(F10-G10)</f>
        <v>6500</v>
      </c>
      <c r="I10" s="62"/>
      <c r="J10" s="88"/>
    </row>
    <row r="11" spans="1:1294" s="56" customFormat="1" ht="19.05" customHeight="1">
      <c r="A11" s="61"/>
      <c r="B11" s="526"/>
      <c r="C11" s="358" t="s">
        <v>103</v>
      </c>
      <c r="D11" s="534"/>
      <c r="E11" s="90">
        <f>COUNTIFS(Table13514520105[[#All],[Sales]],"คุณณรงศ์ศักย์ เหล่ารัตนเวช",Table13514520105[[#All],[รายการเบิก
คอมขาย]],"&gt;0")</f>
        <v>0</v>
      </c>
      <c r="F11" s="70">
        <f>SUMIF(Table13514520105[[#All],[Sales]],"คุณณรงศ์ศักย์ เหล่ารัตนเวช",Table13514520105[[#All],[รายการเบิก
คอมขาย]])</f>
        <v>0</v>
      </c>
      <c r="G11" s="86">
        <f t="shared" ref="G11" si="8">F11*$G$3</f>
        <v>0</v>
      </c>
      <c r="H11" s="86">
        <f t="shared" ref="H11" si="9">SUM(F11-G11)</f>
        <v>0</v>
      </c>
      <c r="I11" s="62"/>
      <c r="J11" s="88"/>
    </row>
    <row r="12" spans="1:1294" s="56" customFormat="1" ht="19.05" customHeight="1">
      <c r="A12" s="61"/>
      <c r="B12" s="526"/>
      <c r="C12" s="358" t="s">
        <v>168</v>
      </c>
      <c r="D12" s="534"/>
      <c r="E12" s="90">
        <f>COUNTIFS(Table13514520105[[#All],[Sales]],"คุณชนัฐฎา สนคะมี",Table13514520105[[#All],[รายการเบิก
คอมขาย]],"&gt;0")</f>
        <v>0</v>
      </c>
      <c r="F12" s="70">
        <f>SUMIF(Table13514520105[[#All],[Sales]],"คุณชนัฐฎา สนคะมี",Table13514520105[[#All],[รายการเบิก
คอมขาย]])</f>
        <v>0</v>
      </c>
      <c r="G12" s="86">
        <f t="shared" ref="G12" si="10">F12*$G$3</f>
        <v>0</v>
      </c>
      <c r="H12" s="86">
        <f t="shared" ref="H12" si="11">SUM(F12-G12)</f>
        <v>0</v>
      </c>
      <c r="I12" s="62"/>
      <c r="J12" s="88"/>
    </row>
    <row r="13" spans="1:1294" s="56" customFormat="1" ht="19.05" customHeight="1">
      <c r="A13" s="61"/>
      <c r="B13" s="527"/>
      <c r="C13" s="83" t="s">
        <v>81</v>
      </c>
      <c r="D13" s="535"/>
      <c r="E13" s="90">
        <f>COUNTIFS(Table13514520105[[#All],[Sales]],"คุณธัญลักษณ์ หมื่นหลุบกุง",Table13514520105[[#All],[รายการเบิก
คอมขาย]],"&gt;0")</f>
        <v>0</v>
      </c>
      <c r="F13" s="70">
        <f>SUMIF(Table13514520105[[#All],[Sales]],"คุณธัญลักษณ์ หมื่นหลุบกุง",Table13514520105[[#All],[รายการเบิก
คอมขาย]])</f>
        <v>0</v>
      </c>
      <c r="G13" s="86">
        <f>F13*$G$3</f>
        <v>0</v>
      </c>
      <c r="H13" s="86">
        <f>SUM(F13-G13)</f>
        <v>0</v>
      </c>
      <c r="I13" s="62"/>
      <c r="J13" s="88"/>
    </row>
    <row r="14" spans="1:1294" s="63" customFormat="1" ht="19.05" customHeight="1">
      <c r="A14" s="80">
        <v>2</v>
      </c>
      <c r="B14" s="528" t="s">
        <v>11</v>
      </c>
      <c r="C14" s="83" t="s">
        <v>82</v>
      </c>
      <c r="D14" s="536" t="s">
        <v>28</v>
      </c>
      <c r="E14" s="91">
        <f>COUNTIFS(Table13514520105[[#All],[Sales]],"คุณนิมิต จุ้ยอยู่ทอง",Table13514520105[[#All],[ค่าขายอุปกรณ์]],"&gt;1")</f>
        <v>0</v>
      </c>
      <c r="F14" s="86">
        <f>SUMIF(Table13514520105[[#All],[Sales]],"คุณนิมิต จุ้ยอยู่ทอง",Table13514520105[[#All],[Total
คอมฯ อุปกรณ์]])</f>
        <v>0</v>
      </c>
      <c r="G14" s="86">
        <f t="shared" si="0"/>
        <v>0</v>
      </c>
      <c r="H14" s="86">
        <f>SUM(F14-G14)</f>
        <v>0</v>
      </c>
      <c r="I14" s="62"/>
      <c r="J14" s="89"/>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c r="CU14" s="56"/>
      <c r="CV14" s="56"/>
      <c r="CW14" s="56"/>
      <c r="CX14" s="56"/>
      <c r="CY14" s="56"/>
      <c r="CZ14" s="56"/>
      <c r="DA14" s="56"/>
      <c r="DB14" s="56"/>
      <c r="DC14" s="56"/>
      <c r="DD14" s="56"/>
      <c r="DE14" s="56"/>
      <c r="DF14" s="56"/>
      <c r="DG14" s="56"/>
      <c r="DH14" s="56"/>
      <c r="DI14" s="56"/>
      <c r="DJ14" s="56"/>
      <c r="DK14" s="56"/>
      <c r="DL14" s="56"/>
      <c r="DM14" s="56"/>
      <c r="DN14" s="56"/>
      <c r="DO14" s="56"/>
      <c r="DP14" s="56"/>
      <c r="DQ14" s="56"/>
      <c r="DR14" s="56"/>
      <c r="DS14" s="56"/>
      <c r="DT14" s="56"/>
      <c r="DU14" s="56"/>
      <c r="DV14" s="56"/>
      <c r="DW14" s="56"/>
      <c r="DX14" s="56"/>
      <c r="DY14" s="56"/>
      <c r="DZ14" s="56"/>
      <c r="EA14" s="56"/>
      <c r="EB14" s="56"/>
      <c r="EC14" s="56"/>
      <c r="ED14" s="56"/>
      <c r="EE14" s="56"/>
      <c r="EF14" s="56"/>
      <c r="EG14" s="56"/>
      <c r="EH14" s="56"/>
      <c r="EI14" s="56"/>
      <c r="EJ14" s="56"/>
      <c r="EK14" s="56"/>
      <c r="EL14" s="56"/>
      <c r="EM14" s="56"/>
      <c r="EN14" s="56"/>
      <c r="EO14" s="56"/>
      <c r="EP14" s="56"/>
      <c r="EQ14" s="56"/>
      <c r="ER14" s="56"/>
      <c r="ES14" s="56"/>
      <c r="ET14" s="56"/>
      <c r="EU14" s="56"/>
      <c r="EV14" s="56"/>
      <c r="EW14" s="56"/>
      <c r="EX14" s="56"/>
      <c r="EY14" s="56"/>
      <c r="EZ14" s="56"/>
      <c r="FA14" s="56"/>
      <c r="FB14" s="56"/>
      <c r="FC14" s="56"/>
      <c r="FD14" s="56"/>
      <c r="FE14" s="56"/>
      <c r="FF14" s="56"/>
      <c r="FG14" s="56"/>
      <c r="FH14" s="56"/>
      <c r="FI14" s="56"/>
      <c r="FJ14" s="56"/>
      <c r="FK14" s="56"/>
      <c r="FL14" s="56"/>
      <c r="FM14" s="56"/>
      <c r="FN14" s="56"/>
      <c r="FO14" s="56"/>
      <c r="FP14" s="56"/>
      <c r="FQ14" s="56"/>
      <c r="FR14" s="56"/>
      <c r="FS14" s="56"/>
      <c r="FT14" s="56"/>
      <c r="FU14" s="56"/>
      <c r="FV14" s="56"/>
      <c r="FW14" s="56"/>
      <c r="FX14" s="56"/>
      <c r="FY14" s="56"/>
      <c r="FZ14" s="56"/>
      <c r="GA14" s="56"/>
      <c r="GB14" s="56"/>
      <c r="GC14" s="56"/>
      <c r="GD14" s="56"/>
      <c r="GE14" s="56"/>
      <c r="GF14" s="56"/>
      <c r="GG14" s="56"/>
      <c r="GH14" s="56"/>
      <c r="GI14" s="56"/>
      <c r="GJ14" s="56"/>
      <c r="GK14" s="56"/>
      <c r="GL14" s="56"/>
      <c r="GM14" s="56"/>
      <c r="GN14" s="56"/>
      <c r="GO14" s="56"/>
      <c r="GP14" s="56"/>
      <c r="GQ14" s="56"/>
      <c r="GR14" s="56"/>
      <c r="GS14" s="56"/>
      <c r="GT14" s="56"/>
      <c r="GU14" s="56"/>
      <c r="GV14" s="56"/>
      <c r="GW14" s="56"/>
      <c r="GX14" s="56"/>
      <c r="GY14" s="56"/>
      <c r="GZ14" s="56"/>
      <c r="HA14" s="56"/>
      <c r="HB14" s="56"/>
      <c r="HC14" s="56"/>
      <c r="HD14" s="56"/>
      <c r="HE14" s="56"/>
      <c r="HF14" s="56"/>
      <c r="HG14" s="56"/>
      <c r="HH14" s="56"/>
      <c r="HI14" s="56"/>
      <c r="HJ14" s="56"/>
      <c r="HK14" s="56"/>
      <c r="HL14" s="56"/>
      <c r="HM14" s="56"/>
      <c r="HN14" s="56"/>
      <c r="HO14" s="56"/>
      <c r="HP14" s="56"/>
      <c r="HQ14" s="56"/>
      <c r="HR14" s="56"/>
      <c r="HS14" s="56"/>
      <c r="HT14" s="56"/>
      <c r="HU14" s="56"/>
      <c r="HV14" s="56"/>
      <c r="HW14" s="56"/>
      <c r="HX14" s="56"/>
      <c r="HY14" s="56"/>
      <c r="HZ14" s="56"/>
      <c r="IA14" s="56"/>
      <c r="IB14" s="56"/>
      <c r="IC14" s="56"/>
      <c r="ID14" s="56"/>
      <c r="IE14" s="56"/>
      <c r="IF14" s="56"/>
      <c r="IG14" s="56"/>
      <c r="IH14" s="56"/>
      <c r="II14" s="56"/>
      <c r="IJ14" s="56"/>
      <c r="IK14" s="56"/>
      <c r="IL14" s="56"/>
      <c r="IM14" s="56"/>
      <c r="IN14" s="56"/>
      <c r="IO14" s="56"/>
      <c r="IP14" s="56"/>
      <c r="IQ14" s="56"/>
      <c r="IR14" s="56"/>
      <c r="IS14" s="56"/>
      <c r="IT14" s="56"/>
      <c r="IU14" s="56"/>
      <c r="IV14" s="56"/>
      <c r="IW14" s="56"/>
      <c r="IX14" s="56"/>
      <c r="IY14" s="56"/>
      <c r="IZ14" s="56"/>
      <c r="JA14" s="56"/>
      <c r="JB14" s="56"/>
      <c r="JC14" s="56"/>
      <c r="JD14" s="56"/>
      <c r="JE14" s="56"/>
      <c r="JF14" s="56"/>
      <c r="JG14" s="56"/>
      <c r="JH14" s="56"/>
      <c r="JI14" s="56"/>
      <c r="JJ14" s="56"/>
      <c r="JK14" s="56"/>
      <c r="JL14" s="56"/>
      <c r="JM14" s="56"/>
      <c r="JN14" s="56"/>
      <c r="JO14" s="56"/>
      <c r="JP14" s="56"/>
      <c r="JQ14" s="56"/>
      <c r="JR14" s="56"/>
      <c r="JS14" s="56"/>
      <c r="JT14" s="56"/>
      <c r="JU14" s="56"/>
      <c r="JV14" s="56"/>
      <c r="JW14" s="56"/>
      <c r="JX14" s="56"/>
      <c r="JY14" s="56"/>
      <c r="JZ14" s="56"/>
      <c r="KA14" s="56"/>
      <c r="KB14" s="56"/>
      <c r="KC14" s="56"/>
      <c r="KD14" s="56"/>
      <c r="KE14" s="56"/>
      <c r="KF14" s="56"/>
      <c r="KG14" s="56"/>
      <c r="KH14" s="56"/>
      <c r="KI14" s="56"/>
      <c r="KJ14" s="56"/>
      <c r="KK14" s="56"/>
      <c r="KL14" s="56"/>
      <c r="KM14" s="56"/>
      <c r="KN14" s="56"/>
      <c r="KO14" s="56"/>
      <c r="KP14" s="56"/>
      <c r="KQ14" s="56"/>
      <c r="KR14" s="56"/>
      <c r="KS14" s="56"/>
      <c r="KT14" s="56"/>
      <c r="KU14" s="56"/>
      <c r="KV14" s="56"/>
      <c r="KW14" s="56"/>
      <c r="KX14" s="56"/>
      <c r="KY14" s="56"/>
      <c r="KZ14" s="56"/>
      <c r="LA14" s="56"/>
      <c r="LB14" s="56"/>
      <c r="LC14" s="56"/>
      <c r="LD14" s="56"/>
      <c r="LE14" s="56"/>
      <c r="LF14" s="56"/>
      <c r="LG14" s="56"/>
      <c r="LH14" s="56"/>
      <c r="LI14" s="56"/>
      <c r="LJ14" s="56"/>
      <c r="LK14" s="56"/>
      <c r="LL14" s="56"/>
      <c r="LM14" s="56"/>
      <c r="LN14" s="56"/>
      <c r="LO14" s="56"/>
      <c r="LP14" s="56"/>
      <c r="LQ14" s="56"/>
      <c r="LR14" s="56"/>
      <c r="LS14" s="56"/>
      <c r="LT14" s="56"/>
      <c r="LU14" s="56"/>
      <c r="LV14" s="56"/>
      <c r="LW14" s="56"/>
      <c r="LX14" s="56"/>
      <c r="LY14" s="56"/>
      <c r="LZ14" s="56"/>
      <c r="MA14" s="56"/>
      <c r="MB14" s="56"/>
      <c r="MC14" s="56"/>
      <c r="MD14" s="56"/>
      <c r="ME14" s="56"/>
      <c r="MF14" s="56"/>
      <c r="MG14" s="56"/>
      <c r="MH14" s="56"/>
      <c r="MI14" s="56"/>
      <c r="MJ14" s="56"/>
      <c r="MK14" s="56"/>
      <c r="ML14" s="56"/>
      <c r="MM14" s="56"/>
      <c r="MN14" s="56"/>
      <c r="MO14" s="56"/>
      <c r="MP14" s="56"/>
      <c r="MQ14" s="56"/>
      <c r="MR14" s="56"/>
      <c r="MS14" s="56"/>
      <c r="MT14" s="56"/>
      <c r="MU14" s="56"/>
      <c r="MV14" s="56"/>
      <c r="MW14" s="56"/>
      <c r="MX14" s="56"/>
      <c r="MY14" s="56"/>
      <c r="MZ14" s="56"/>
      <c r="NA14" s="56"/>
      <c r="NB14" s="56"/>
      <c r="NC14" s="56"/>
      <c r="ND14" s="56"/>
      <c r="NE14" s="56"/>
      <c r="NF14" s="56"/>
      <c r="NG14" s="56"/>
      <c r="NH14" s="56"/>
      <c r="NI14" s="56"/>
      <c r="NJ14" s="56"/>
      <c r="NK14" s="56"/>
      <c r="NL14" s="56"/>
      <c r="NM14" s="56"/>
      <c r="NN14" s="56"/>
      <c r="NO14" s="56"/>
      <c r="NP14" s="56"/>
      <c r="NQ14" s="56"/>
      <c r="NR14" s="56"/>
      <c r="NS14" s="56"/>
      <c r="NT14" s="56"/>
      <c r="NU14" s="56"/>
      <c r="NV14" s="56"/>
      <c r="NW14" s="56"/>
      <c r="NX14" s="56"/>
      <c r="NY14" s="56"/>
      <c r="NZ14" s="56"/>
      <c r="OA14" s="56"/>
      <c r="OB14" s="56"/>
      <c r="OC14" s="56"/>
      <c r="OD14" s="56"/>
      <c r="OE14" s="56"/>
      <c r="OF14" s="56"/>
      <c r="OG14" s="56"/>
      <c r="OH14" s="56"/>
      <c r="OI14" s="56"/>
      <c r="OJ14" s="56"/>
      <c r="OK14" s="56"/>
      <c r="OL14" s="56"/>
      <c r="OM14" s="56"/>
      <c r="ON14" s="56"/>
      <c r="OO14" s="56"/>
      <c r="OP14" s="56"/>
      <c r="OQ14" s="56"/>
      <c r="OR14" s="56"/>
      <c r="OS14" s="56"/>
      <c r="OT14" s="56"/>
      <c r="OU14" s="56"/>
      <c r="OV14" s="56"/>
      <c r="OW14" s="56"/>
      <c r="OX14" s="56"/>
      <c r="OY14" s="56"/>
      <c r="OZ14" s="56"/>
      <c r="PA14" s="56"/>
      <c r="PB14" s="56"/>
      <c r="PC14" s="56"/>
      <c r="PD14" s="56"/>
      <c r="PE14" s="56"/>
      <c r="PF14" s="56"/>
      <c r="PG14" s="56"/>
      <c r="PH14" s="56"/>
      <c r="PI14" s="56"/>
      <c r="PJ14" s="56"/>
      <c r="PK14" s="56"/>
      <c r="PL14" s="56"/>
      <c r="PM14" s="56"/>
      <c r="PN14" s="56"/>
      <c r="PO14" s="56"/>
      <c r="PP14" s="56"/>
      <c r="PQ14" s="56"/>
      <c r="PR14" s="56"/>
      <c r="PS14" s="56"/>
      <c r="PT14" s="56"/>
      <c r="PU14" s="56"/>
      <c r="PV14" s="56"/>
      <c r="PW14" s="56"/>
      <c r="PX14" s="56"/>
      <c r="PY14" s="56"/>
      <c r="PZ14" s="56"/>
      <c r="QA14" s="56"/>
      <c r="QB14" s="56"/>
      <c r="QC14" s="56"/>
      <c r="QD14" s="56"/>
      <c r="QE14" s="56"/>
      <c r="QF14" s="56"/>
      <c r="QG14" s="56"/>
      <c r="QH14" s="56"/>
      <c r="QI14" s="56"/>
      <c r="QJ14" s="56"/>
      <c r="QK14" s="56"/>
      <c r="QL14" s="56"/>
      <c r="QM14" s="56"/>
      <c r="QN14" s="56"/>
      <c r="QO14" s="56"/>
      <c r="QP14" s="56"/>
      <c r="QQ14" s="56"/>
      <c r="QR14" s="56"/>
      <c r="QS14" s="56"/>
      <c r="QT14" s="56"/>
      <c r="QU14" s="56"/>
      <c r="QV14" s="56"/>
      <c r="QW14" s="56"/>
      <c r="QX14" s="56"/>
      <c r="QY14" s="56"/>
      <c r="QZ14" s="56"/>
      <c r="RA14" s="56"/>
      <c r="RB14" s="56"/>
      <c r="RC14" s="56"/>
      <c r="RD14" s="56"/>
      <c r="RE14" s="56"/>
      <c r="RF14" s="56"/>
      <c r="RG14" s="56"/>
      <c r="RH14" s="56"/>
      <c r="RI14" s="56"/>
      <c r="RJ14" s="56"/>
      <c r="RK14" s="56"/>
      <c r="RL14" s="56"/>
      <c r="RM14" s="56"/>
      <c r="RN14" s="56"/>
      <c r="RO14" s="56"/>
      <c r="RP14" s="56"/>
      <c r="RQ14" s="56"/>
      <c r="RR14" s="56"/>
      <c r="RS14" s="56"/>
      <c r="RT14" s="56"/>
      <c r="RU14" s="56"/>
      <c r="RV14" s="56"/>
      <c r="RW14" s="56"/>
      <c r="RX14" s="56"/>
      <c r="RY14" s="56"/>
      <c r="RZ14" s="56"/>
      <c r="SA14" s="56"/>
      <c r="SB14" s="56"/>
      <c r="SC14" s="56"/>
      <c r="SD14" s="56"/>
      <c r="SE14" s="56"/>
      <c r="SF14" s="56"/>
      <c r="SG14" s="56"/>
      <c r="SH14" s="56"/>
      <c r="SI14" s="56"/>
      <c r="SJ14" s="56"/>
      <c r="SK14" s="56"/>
      <c r="SL14" s="56"/>
      <c r="SM14" s="56"/>
      <c r="SN14" s="56"/>
      <c r="SO14" s="56"/>
      <c r="SP14" s="56"/>
      <c r="SQ14" s="56"/>
      <c r="SR14" s="56"/>
      <c r="SS14" s="56"/>
      <c r="ST14" s="56"/>
      <c r="SU14" s="56"/>
      <c r="SV14" s="56"/>
      <c r="SW14" s="56"/>
      <c r="SX14" s="56"/>
      <c r="SY14" s="56"/>
      <c r="SZ14" s="56"/>
      <c r="TA14" s="56"/>
      <c r="TB14" s="56"/>
      <c r="TC14" s="56"/>
      <c r="TD14" s="56"/>
      <c r="TE14" s="56"/>
      <c r="TF14" s="56"/>
      <c r="TG14" s="56"/>
      <c r="TH14" s="56"/>
      <c r="TI14" s="56"/>
      <c r="TJ14" s="56"/>
      <c r="TK14" s="56"/>
      <c r="TL14" s="56"/>
      <c r="TM14" s="56"/>
      <c r="TN14" s="56"/>
      <c r="TO14" s="56"/>
      <c r="TP14" s="56"/>
      <c r="TQ14" s="56"/>
      <c r="TR14" s="56"/>
      <c r="TS14" s="56"/>
      <c r="TT14" s="56"/>
      <c r="TU14" s="56"/>
      <c r="TV14" s="56"/>
      <c r="TW14" s="56"/>
      <c r="TX14" s="56"/>
      <c r="TY14" s="56"/>
      <c r="TZ14" s="56"/>
      <c r="UA14" s="56"/>
      <c r="UB14" s="56"/>
      <c r="UC14" s="56"/>
      <c r="UD14" s="56"/>
      <c r="UE14" s="56"/>
      <c r="UF14" s="56"/>
      <c r="UG14" s="56"/>
      <c r="UH14" s="56"/>
      <c r="UI14" s="56"/>
      <c r="UJ14" s="56"/>
      <c r="UK14" s="56"/>
      <c r="UL14" s="56"/>
      <c r="UM14" s="56"/>
      <c r="UN14" s="56"/>
      <c r="UO14" s="56"/>
      <c r="UP14" s="56"/>
      <c r="UQ14" s="56"/>
      <c r="UR14" s="56"/>
      <c r="US14" s="56"/>
      <c r="UT14" s="56"/>
      <c r="UU14" s="56"/>
      <c r="UV14" s="56"/>
      <c r="UW14" s="56"/>
      <c r="UX14" s="56"/>
      <c r="UY14" s="56"/>
      <c r="UZ14" s="56"/>
      <c r="VA14" s="56"/>
      <c r="VB14" s="56"/>
      <c r="VC14" s="56"/>
      <c r="VD14" s="56"/>
      <c r="VE14" s="56"/>
      <c r="VF14" s="56"/>
      <c r="VG14" s="56"/>
      <c r="VH14" s="56"/>
      <c r="VI14" s="56"/>
      <c r="VJ14" s="56"/>
      <c r="VK14" s="56"/>
      <c r="VL14" s="56"/>
      <c r="VM14" s="56"/>
      <c r="VN14" s="56"/>
      <c r="VO14" s="56"/>
      <c r="VP14" s="56"/>
      <c r="VQ14" s="56"/>
      <c r="VR14" s="56"/>
      <c r="VS14" s="56"/>
      <c r="VT14" s="56"/>
      <c r="VU14" s="56"/>
      <c r="VV14" s="56"/>
      <c r="VW14" s="56"/>
      <c r="VX14" s="56"/>
      <c r="VY14" s="56"/>
      <c r="VZ14" s="56"/>
      <c r="WA14" s="56"/>
      <c r="WB14" s="56"/>
      <c r="WC14" s="56"/>
      <c r="WD14" s="56"/>
      <c r="WE14" s="56"/>
      <c r="WF14" s="56"/>
      <c r="WG14" s="56"/>
      <c r="WH14" s="56"/>
      <c r="WI14" s="56"/>
      <c r="WJ14" s="56"/>
      <c r="WK14" s="56"/>
      <c r="WL14" s="56"/>
      <c r="WM14" s="56"/>
      <c r="WN14" s="56"/>
      <c r="WO14" s="56"/>
      <c r="WP14" s="56"/>
      <c r="WQ14" s="56"/>
      <c r="WR14" s="56"/>
      <c r="WS14" s="56"/>
      <c r="WT14" s="56"/>
      <c r="WU14" s="56"/>
      <c r="WV14" s="56"/>
      <c r="WW14" s="56"/>
      <c r="WX14" s="56"/>
      <c r="WY14" s="56"/>
      <c r="WZ14" s="56"/>
      <c r="XA14" s="56"/>
      <c r="XB14" s="56"/>
      <c r="XC14" s="56"/>
      <c r="XD14" s="56"/>
      <c r="XE14" s="56"/>
      <c r="XF14" s="56"/>
      <c r="XG14" s="56"/>
      <c r="XH14" s="56"/>
      <c r="XI14" s="56"/>
      <c r="XJ14" s="56"/>
      <c r="XK14" s="56"/>
      <c r="XL14" s="56"/>
      <c r="XM14" s="56"/>
      <c r="XN14" s="56"/>
      <c r="XO14" s="56"/>
      <c r="XP14" s="56"/>
      <c r="XQ14" s="56"/>
      <c r="XR14" s="56"/>
      <c r="XS14" s="56"/>
      <c r="XT14" s="56"/>
      <c r="XU14" s="56"/>
      <c r="XV14" s="56"/>
      <c r="XW14" s="56"/>
      <c r="XX14" s="56"/>
      <c r="XY14" s="56"/>
      <c r="XZ14" s="56"/>
      <c r="YA14" s="56"/>
      <c r="YB14" s="56"/>
      <c r="YC14" s="56"/>
      <c r="YD14" s="56"/>
      <c r="YE14" s="56"/>
      <c r="YF14" s="56"/>
      <c r="YG14" s="56"/>
      <c r="YH14" s="56"/>
      <c r="YI14" s="56"/>
      <c r="YJ14" s="56"/>
      <c r="YK14" s="56"/>
      <c r="YL14" s="56"/>
      <c r="YM14" s="56"/>
      <c r="YN14" s="56"/>
      <c r="YO14" s="56"/>
      <c r="YP14" s="56"/>
      <c r="YQ14" s="56"/>
      <c r="YR14" s="56"/>
      <c r="YS14" s="56"/>
      <c r="YT14" s="56"/>
      <c r="YU14" s="56"/>
      <c r="YV14" s="56"/>
      <c r="YW14" s="56"/>
      <c r="YX14" s="56"/>
      <c r="YY14" s="56"/>
      <c r="YZ14" s="56"/>
      <c r="ZA14" s="56"/>
      <c r="ZB14" s="56"/>
      <c r="ZC14" s="56"/>
      <c r="ZD14" s="56"/>
      <c r="ZE14" s="56"/>
      <c r="ZF14" s="56"/>
      <c r="ZG14" s="56"/>
      <c r="ZH14" s="56"/>
      <c r="ZI14" s="56"/>
      <c r="ZJ14" s="56"/>
      <c r="ZK14" s="56"/>
      <c r="ZL14" s="56"/>
      <c r="ZM14" s="56"/>
      <c r="ZN14" s="56"/>
      <c r="ZO14" s="56"/>
      <c r="ZP14" s="56"/>
      <c r="ZQ14" s="56"/>
      <c r="ZR14" s="56"/>
      <c r="ZS14" s="56"/>
      <c r="ZT14" s="56"/>
      <c r="ZU14" s="56"/>
      <c r="ZV14" s="56"/>
      <c r="ZW14" s="56"/>
      <c r="ZX14" s="56"/>
      <c r="ZY14" s="56"/>
      <c r="ZZ14" s="56"/>
      <c r="AAA14" s="56"/>
      <c r="AAB14" s="56"/>
      <c r="AAC14" s="56"/>
      <c r="AAD14" s="56"/>
      <c r="AAE14" s="56"/>
      <c r="AAF14" s="56"/>
      <c r="AAG14" s="56"/>
      <c r="AAH14" s="56"/>
      <c r="AAI14" s="56"/>
      <c r="AAJ14" s="56"/>
      <c r="AAK14" s="56"/>
      <c r="AAL14" s="56"/>
      <c r="AAM14" s="56"/>
      <c r="AAN14" s="56"/>
      <c r="AAO14" s="56"/>
      <c r="AAP14" s="56"/>
      <c r="AAQ14" s="56"/>
      <c r="AAR14" s="56"/>
      <c r="AAS14" s="56"/>
      <c r="AAT14" s="56"/>
      <c r="AAU14" s="56"/>
      <c r="AAV14" s="56"/>
      <c r="AAW14" s="56"/>
      <c r="AAX14" s="56"/>
      <c r="AAY14" s="56"/>
      <c r="AAZ14" s="56"/>
      <c r="ABA14" s="56"/>
      <c r="ABB14" s="56"/>
      <c r="ABC14" s="56"/>
      <c r="ABD14" s="56"/>
      <c r="ABE14" s="56"/>
      <c r="ABF14" s="56"/>
      <c r="ABG14" s="56"/>
      <c r="ABH14" s="56"/>
      <c r="ABI14" s="56"/>
      <c r="ABJ14" s="56"/>
      <c r="ABK14" s="56"/>
      <c r="ABL14" s="56"/>
      <c r="ABM14" s="56"/>
      <c r="ABN14" s="56"/>
      <c r="ABO14" s="56"/>
      <c r="ABP14" s="56"/>
      <c r="ABQ14" s="56"/>
      <c r="ABR14" s="56"/>
      <c r="ABS14" s="56"/>
      <c r="ABT14" s="56"/>
      <c r="ABU14" s="56"/>
      <c r="ABV14" s="56"/>
      <c r="ABW14" s="56"/>
      <c r="ABX14" s="56"/>
      <c r="ABY14" s="56"/>
      <c r="ABZ14" s="56"/>
      <c r="ACA14" s="56"/>
      <c r="ACB14" s="56"/>
      <c r="ACC14" s="56"/>
      <c r="ACD14" s="56"/>
      <c r="ACE14" s="56"/>
      <c r="ACF14" s="56"/>
      <c r="ACG14" s="56"/>
      <c r="ACH14" s="56"/>
      <c r="ACI14" s="56"/>
      <c r="ACJ14" s="56"/>
      <c r="ACK14" s="56"/>
      <c r="ACL14" s="56"/>
      <c r="ACM14" s="56"/>
      <c r="ACN14" s="56"/>
      <c r="ACO14" s="56"/>
      <c r="ACP14" s="56"/>
      <c r="ACQ14" s="56"/>
      <c r="ACR14" s="56"/>
      <c r="ACS14" s="56"/>
      <c r="ACT14" s="56"/>
      <c r="ACU14" s="56"/>
      <c r="ACV14" s="56"/>
      <c r="ACW14" s="56"/>
      <c r="ACX14" s="56"/>
      <c r="ACY14" s="56"/>
      <c r="ACZ14" s="56"/>
      <c r="ADA14" s="56"/>
      <c r="ADB14" s="56"/>
      <c r="ADC14" s="56"/>
      <c r="ADD14" s="56"/>
      <c r="ADE14" s="56"/>
      <c r="ADF14" s="56"/>
      <c r="ADG14" s="56"/>
      <c r="ADH14" s="56"/>
      <c r="ADI14" s="56"/>
      <c r="ADJ14" s="56"/>
      <c r="ADK14" s="56"/>
      <c r="ADL14" s="56"/>
      <c r="ADM14" s="56"/>
      <c r="ADN14" s="56"/>
      <c r="ADO14" s="56"/>
      <c r="ADP14" s="56"/>
      <c r="ADQ14" s="56"/>
      <c r="ADR14" s="56"/>
      <c r="ADS14" s="56"/>
      <c r="ADT14" s="56"/>
      <c r="ADU14" s="56"/>
      <c r="ADV14" s="56"/>
      <c r="ADW14" s="56"/>
      <c r="ADX14" s="56"/>
      <c r="ADY14" s="56"/>
      <c r="ADZ14" s="56"/>
      <c r="AEA14" s="56"/>
      <c r="AEB14" s="56"/>
      <c r="AEC14" s="56"/>
      <c r="AED14" s="56"/>
      <c r="AEE14" s="56"/>
      <c r="AEF14" s="56"/>
      <c r="AEG14" s="56"/>
      <c r="AEH14" s="56"/>
      <c r="AEI14" s="56"/>
      <c r="AEJ14" s="56"/>
      <c r="AEK14" s="56"/>
      <c r="AEL14" s="56"/>
      <c r="AEM14" s="56"/>
      <c r="AEN14" s="56"/>
      <c r="AEO14" s="56"/>
      <c r="AEP14" s="56"/>
      <c r="AEQ14" s="56"/>
      <c r="AER14" s="56"/>
      <c r="AES14" s="56"/>
      <c r="AET14" s="56"/>
      <c r="AEU14" s="56"/>
      <c r="AEV14" s="56"/>
      <c r="AEW14" s="56"/>
      <c r="AEX14" s="56"/>
      <c r="AEY14" s="56"/>
      <c r="AEZ14" s="56"/>
      <c r="AFA14" s="56"/>
      <c r="AFB14" s="56"/>
      <c r="AFC14" s="56"/>
      <c r="AFD14" s="56"/>
      <c r="AFE14" s="56"/>
      <c r="AFF14" s="56"/>
      <c r="AFG14" s="56"/>
      <c r="AFH14" s="56"/>
      <c r="AFI14" s="56"/>
      <c r="AFJ14" s="56"/>
      <c r="AFK14" s="56"/>
      <c r="AFL14" s="56"/>
      <c r="AFM14" s="56"/>
      <c r="AFN14" s="56"/>
      <c r="AFO14" s="56"/>
      <c r="AFP14" s="56"/>
      <c r="AFQ14" s="56"/>
      <c r="AFR14" s="56"/>
      <c r="AFS14" s="56"/>
      <c r="AFT14" s="56"/>
      <c r="AFU14" s="56"/>
      <c r="AFV14" s="56"/>
      <c r="AFW14" s="56"/>
      <c r="AFX14" s="56"/>
      <c r="AFY14" s="56"/>
      <c r="AFZ14" s="56"/>
      <c r="AGA14" s="56"/>
      <c r="AGB14" s="56"/>
      <c r="AGC14" s="56"/>
      <c r="AGD14" s="56"/>
      <c r="AGE14" s="56"/>
      <c r="AGF14" s="56"/>
      <c r="AGG14" s="56"/>
      <c r="AGH14" s="56"/>
      <c r="AGI14" s="56"/>
      <c r="AGJ14" s="56"/>
      <c r="AGK14" s="56"/>
      <c r="AGL14" s="56"/>
      <c r="AGM14" s="56"/>
      <c r="AGN14" s="56"/>
      <c r="AGO14" s="56"/>
      <c r="AGP14" s="56"/>
      <c r="AGQ14" s="56"/>
      <c r="AGR14" s="56"/>
      <c r="AGS14" s="56"/>
      <c r="AGT14" s="56"/>
      <c r="AGU14" s="56"/>
      <c r="AGV14" s="56"/>
      <c r="AGW14" s="56"/>
      <c r="AGX14" s="56"/>
      <c r="AGY14" s="56"/>
      <c r="AGZ14" s="56"/>
      <c r="AHA14" s="56"/>
      <c r="AHB14" s="56"/>
      <c r="AHC14" s="56"/>
      <c r="AHD14" s="56"/>
      <c r="AHE14" s="56"/>
      <c r="AHF14" s="56"/>
      <c r="AHG14" s="56"/>
      <c r="AHH14" s="56"/>
      <c r="AHI14" s="56"/>
      <c r="AHJ14" s="56"/>
      <c r="AHK14" s="56"/>
      <c r="AHL14" s="56"/>
      <c r="AHM14" s="56"/>
      <c r="AHN14" s="56"/>
      <c r="AHO14" s="56"/>
      <c r="AHP14" s="56"/>
      <c r="AHQ14" s="56"/>
      <c r="AHR14" s="56"/>
      <c r="AHS14" s="56"/>
      <c r="AHT14" s="56"/>
      <c r="AHU14" s="56"/>
      <c r="AHV14" s="56"/>
      <c r="AHW14" s="56"/>
      <c r="AHX14" s="56"/>
      <c r="AHY14" s="56"/>
      <c r="AHZ14" s="56"/>
      <c r="AIA14" s="56"/>
      <c r="AIB14" s="56"/>
      <c r="AIC14" s="56"/>
      <c r="AID14" s="56"/>
      <c r="AIE14" s="56"/>
      <c r="AIF14" s="56"/>
      <c r="AIG14" s="56"/>
      <c r="AIH14" s="56"/>
      <c r="AII14" s="56"/>
      <c r="AIJ14" s="56"/>
      <c r="AIK14" s="56"/>
      <c r="AIL14" s="56"/>
      <c r="AIM14" s="56"/>
      <c r="AIN14" s="56"/>
      <c r="AIO14" s="56"/>
      <c r="AIP14" s="56"/>
      <c r="AIQ14" s="56"/>
      <c r="AIR14" s="56"/>
      <c r="AIS14" s="56"/>
      <c r="AIT14" s="56"/>
      <c r="AIU14" s="56"/>
      <c r="AIV14" s="56"/>
      <c r="AIW14" s="56"/>
      <c r="AIX14" s="56"/>
      <c r="AIY14" s="56"/>
      <c r="AIZ14" s="56"/>
      <c r="AJA14" s="56"/>
      <c r="AJB14" s="56"/>
      <c r="AJC14" s="56"/>
      <c r="AJD14" s="56"/>
      <c r="AJE14" s="56"/>
      <c r="AJF14" s="56"/>
      <c r="AJG14" s="56"/>
      <c r="AJH14" s="56"/>
      <c r="AJI14" s="56"/>
      <c r="AJJ14" s="56"/>
      <c r="AJK14" s="56"/>
      <c r="AJL14" s="56"/>
      <c r="AJM14" s="56"/>
      <c r="AJN14" s="56"/>
      <c r="AJO14" s="56"/>
      <c r="AJP14" s="56"/>
      <c r="AJQ14" s="56"/>
      <c r="AJR14" s="56"/>
      <c r="AJS14" s="56"/>
      <c r="AJT14" s="56"/>
      <c r="AJU14" s="56"/>
      <c r="AJV14" s="56"/>
      <c r="AJW14" s="56"/>
      <c r="AJX14" s="56"/>
      <c r="AJY14" s="56"/>
      <c r="AJZ14" s="56"/>
      <c r="AKA14" s="56"/>
      <c r="AKB14" s="56"/>
      <c r="AKC14" s="56"/>
      <c r="AKD14" s="56"/>
      <c r="AKE14" s="56"/>
      <c r="AKF14" s="56"/>
      <c r="AKG14" s="56"/>
      <c r="AKH14" s="56"/>
      <c r="AKI14" s="56"/>
      <c r="AKJ14" s="56"/>
      <c r="AKK14" s="56"/>
      <c r="AKL14" s="56"/>
      <c r="AKM14" s="56"/>
      <c r="AKN14" s="56"/>
      <c r="AKO14" s="56"/>
      <c r="AKP14" s="56"/>
      <c r="AKQ14" s="56"/>
      <c r="AKR14" s="56"/>
      <c r="AKS14" s="56"/>
      <c r="AKT14" s="56"/>
      <c r="AKU14" s="56"/>
      <c r="AKV14" s="56"/>
      <c r="AKW14" s="56"/>
      <c r="AKX14" s="56"/>
      <c r="AKY14" s="56"/>
      <c r="AKZ14" s="56"/>
      <c r="ALA14" s="56"/>
      <c r="ALB14" s="56"/>
      <c r="ALC14" s="56"/>
      <c r="ALD14" s="56"/>
      <c r="ALE14" s="56"/>
      <c r="ALF14" s="56"/>
      <c r="ALG14" s="56"/>
      <c r="ALH14" s="56"/>
      <c r="ALI14" s="56"/>
      <c r="ALJ14" s="56"/>
      <c r="ALK14" s="56"/>
      <c r="ALL14" s="56"/>
      <c r="ALM14" s="56"/>
      <c r="ALN14" s="56"/>
      <c r="ALO14" s="56"/>
      <c r="ALP14" s="56"/>
      <c r="ALQ14" s="56"/>
      <c r="ALR14" s="56"/>
      <c r="ALS14" s="56"/>
      <c r="ALT14" s="56"/>
      <c r="ALU14" s="56"/>
      <c r="ALV14" s="56"/>
      <c r="ALW14" s="56"/>
      <c r="ALX14" s="56"/>
      <c r="ALY14" s="56"/>
      <c r="ALZ14" s="56"/>
      <c r="AMA14" s="56"/>
      <c r="AMB14" s="56"/>
      <c r="AMC14" s="56"/>
      <c r="AMD14" s="56"/>
      <c r="AME14" s="56"/>
      <c r="AMF14" s="56"/>
      <c r="AMG14" s="56"/>
      <c r="AMH14" s="56"/>
      <c r="AMI14" s="56"/>
      <c r="AMJ14" s="56"/>
      <c r="AMK14" s="56"/>
      <c r="AML14" s="56"/>
      <c r="AMM14" s="56"/>
      <c r="AMN14" s="56"/>
      <c r="AMO14" s="56"/>
      <c r="AMP14" s="56"/>
      <c r="AMQ14" s="56"/>
      <c r="AMR14" s="56"/>
      <c r="AMS14" s="56"/>
      <c r="AMT14" s="56"/>
      <c r="AMU14" s="56"/>
      <c r="AMV14" s="56"/>
      <c r="AMW14" s="56"/>
      <c r="AMX14" s="56"/>
      <c r="AMY14" s="56"/>
      <c r="AMZ14" s="56"/>
      <c r="ANA14" s="56"/>
      <c r="ANB14" s="56"/>
      <c r="ANC14" s="56"/>
      <c r="AND14" s="56"/>
      <c r="ANE14" s="56"/>
      <c r="ANF14" s="56"/>
      <c r="ANG14" s="56"/>
      <c r="ANH14" s="56"/>
      <c r="ANI14" s="56"/>
      <c r="ANJ14" s="56"/>
      <c r="ANK14" s="56"/>
      <c r="ANL14" s="56"/>
      <c r="ANM14" s="56"/>
      <c r="ANN14" s="56"/>
      <c r="ANO14" s="56"/>
      <c r="ANP14" s="56"/>
      <c r="ANQ14" s="56"/>
      <c r="ANR14" s="56"/>
      <c r="ANS14" s="56"/>
      <c r="ANT14" s="56"/>
      <c r="ANU14" s="56"/>
      <c r="ANV14" s="56"/>
      <c r="ANW14" s="56"/>
      <c r="ANX14" s="56"/>
      <c r="ANY14" s="56"/>
      <c r="ANZ14" s="56"/>
      <c r="AOA14" s="56"/>
      <c r="AOB14" s="56"/>
      <c r="AOC14" s="56"/>
      <c r="AOD14" s="56"/>
      <c r="AOE14" s="56"/>
      <c r="AOF14" s="56"/>
      <c r="AOG14" s="56"/>
      <c r="AOH14" s="56"/>
      <c r="AOI14" s="56"/>
      <c r="AOJ14" s="56"/>
      <c r="AOK14" s="56"/>
      <c r="AOL14" s="56"/>
      <c r="AOM14" s="56"/>
      <c r="AON14" s="56"/>
      <c r="AOO14" s="56"/>
      <c r="AOP14" s="56"/>
      <c r="AOQ14" s="56"/>
      <c r="AOR14" s="56"/>
      <c r="AOS14" s="56"/>
      <c r="AOT14" s="56"/>
      <c r="AOU14" s="56"/>
      <c r="AOV14" s="56"/>
      <c r="AOW14" s="56"/>
      <c r="AOX14" s="56"/>
      <c r="AOY14" s="56"/>
      <c r="AOZ14" s="56"/>
      <c r="APA14" s="56"/>
      <c r="APB14" s="56"/>
      <c r="APC14" s="56"/>
      <c r="APD14" s="56"/>
      <c r="APE14" s="56"/>
      <c r="APF14" s="56"/>
      <c r="APG14" s="56"/>
      <c r="APH14" s="56"/>
      <c r="API14" s="56"/>
      <c r="APJ14" s="56"/>
      <c r="APK14" s="56"/>
      <c r="APL14" s="56"/>
      <c r="APM14" s="56"/>
      <c r="APN14" s="56"/>
      <c r="APO14" s="56"/>
      <c r="APP14" s="56"/>
      <c r="APQ14" s="56"/>
      <c r="APR14" s="56"/>
      <c r="APS14" s="56"/>
      <c r="APT14" s="56"/>
      <c r="APU14" s="56"/>
      <c r="APV14" s="56"/>
      <c r="APW14" s="56"/>
      <c r="APX14" s="56"/>
      <c r="APY14" s="56"/>
      <c r="APZ14" s="56"/>
      <c r="AQA14" s="56"/>
      <c r="AQB14" s="56"/>
      <c r="AQC14" s="56"/>
      <c r="AQD14" s="56"/>
      <c r="AQE14" s="56"/>
      <c r="AQF14" s="56"/>
      <c r="AQG14" s="56"/>
      <c r="AQH14" s="56"/>
      <c r="AQI14" s="56"/>
      <c r="AQJ14" s="56"/>
      <c r="AQK14" s="56"/>
      <c r="AQL14" s="56"/>
      <c r="AQM14" s="56"/>
      <c r="AQN14" s="56"/>
      <c r="AQO14" s="56"/>
      <c r="AQP14" s="56"/>
      <c r="AQQ14" s="56"/>
      <c r="AQR14" s="56"/>
      <c r="AQS14" s="56"/>
      <c r="AQT14" s="56"/>
      <c r="AQU14" s="56"/>
      <c r="AQV14" s="56"/>
      <c r="AQW14" s="56"/>
      <c r="AQX14" s="56"/>
      <c r="AQY14" s="56"/>
      <c r="AQZ14" s="56"/>
      <c r="ARA14" s="56"/>
      <c r="ARB14" s="56"/>
      <c r="ARC14" s="56"/>
      <c r="ARD14" s="56"/>
      <c r="ARE14" s="56"/>
      <c r="ARF14" s="56"/>
      <c r="ARG14" s="56"/>
      <c r="ARH14" s="56"/>
      <c r="ARI14" s="56"/>
      <c r="ARJ14" s="56"/>
      <c r="ARK14" s="56"/>
      <c r="ARL14" s="56"/>
      <c r="ARM14" s="56"/>
      <c r="ARN14" s="56"/>
      <c r="ARO14" s="56"/>
      <c r="ARP14" s="56"/>
      <c r="ARQ14" s="56"/>
      <c r="ARR14" s="56"/>
      <c r="ARS14" s="56"/>
      <c r="ART14" s="56"/>
      <c r="ARU14" s="56"/>
      <c r="ARV14" s="56"/>
      <c r="ARW14" s="56"/>
      <c r="ARX14" s="56"/>
      <c r="ARY14" s="56"/>
      <c r="ARZ14" s="56"/>
      <c r="ASA14" s="56"/>
      <c r="ASB14" s="56"/>
      <c r="ASC14" s="56"/>
      <c r="ASD14" s="56"/>
      <c r="ASE14" s="56"/>
      <c r="ASF14" s="56"/>
      <c r="ASG14" s="56"/>
      <c r="ASH14" s="56"/>
      <c r="ASI14" s="56"/>
      <c r="ASJ14" s="56"/>
      <c r="ASK14" s="56"/>
      <c r="ASL14" s="56"/>
      <c r="ASM14" s="56"/>
      <c r="ASN14" s="56"/>
      <c r="ASO14" s="56"/>
      <c r="ASP14" s="56"/>
      <c r="ASQ14" s="56"/>
      <c r="ASR14" s="56"/>
      <c r="ASS14" s="56"/>
      <c r="AST14" s="56"/>
      <c r="ASU14" s="56"/>
      <c r="ASV14" s="56"/>
      <c r="ASW14" s="56"/>
      <c r="ASX14" s="56"/>
      <c r="ASY14" s="56"/>
      <c r="ASZ14" s="56"/>
      <c r="ATA14" s="56"/>
      <c r="ATB14" s="56"/>
      <c r="ATC14" s="56"/>
      <c r="ATD14" s="56"/>
      <c r="ATE14" s="56"/>
      <c r="ATF14" s="56"/>
      <c r="ATG14" s="56"/>
      <c r="ATH14" s="56"/>
      <c r="ATI14" s="56"/>
      <c r="ATJ14" s="56"/>
      <c r="ATK14" s="56"/>
      <c r="ATL14" s="56"/>
      <c r="ATM14" s="56"/>
      <c r="ATN14" s="56"/>
      <c r="ATO14" s="56"/>
      <c r="ATP14" s="56"/>
      <c r="ATQ14" s="56"/>
      <c r="ATR14" s="56"/>
      <c r="ATS14" s="56"/>
      <c r="ATT14" s="56"/>
      <c r="ATU14" s="56"/>
      <c r="ATV14" s="56"/>
      <c r="ATW14" s="56"/>
      <c r="ATX14" s="56"/>
      <c r="ATY14" s="56"/>
      <c r="ATZ14" s="56"/>
      <c r="AUA14" s="56"/>
      <c r="AUB14" s="56"/>
      <c r="AUC14" s="56"/>
      <c r="AUD14" s="56"/>
      <c r="AUE14" s="56"/>
      <c r="AUF14" s="56"/>
      <c r="AUG14" s="56"/>
      <c r="AUH14" s="56"/>
      <c r="AUI14" s="56"/>
      <c r="AUJ14" s="56"/>
      <c r="AUK14" s="56"/>
      <c r="AUL14" s="56"/>
      <c r="AUM14" s="56"/>
      <c r="AUN14" s="56"/>
      <c r="AUO14" s="56"/>
      <c r="AUP14" s="56"/>
      <c r="AUQ14" s="56"/>
      <c r="AUR14" s="56"/>
      <c r="AUS14" s="56"/>
      <c r="AUT14" s="56"/>
      <c r="AUU14" s="56"/>
      <c r="AUV14" s="56"/>
      <c r="AUW14" s="56"/>
      <c r="AUX14" s="56"/>
      <c r="AUY14" s="56"/>
      <c r="AUZ14" s="56"/>
      <c r="AVA14" s="56"/>
      <c r="AVB14" s="56"/>
      <c r="AVC14" s="56"/>
      <c r="AVD14" s="56"/>
      <c r="AVE14" s="56"/>
      <c r="AVF14" s="56"/>
      <c r="AVG14" s="56"/>
      <c r="AVH14" s="56"/>
      <c r="AVI14" s="56"/>
      <c r="AVJ14" s="56"/>
      <c r="AVK14" s="56"/>
      <c r="AVL14" s="56"/>
      <c r="AVM14" s="56"/>
      <c r="AVN14" s="56"/>
      <c r="AVO14" s="56"/>
      <c r="AVP14" s="56"/>
      <c r="AVQ14" s="56"/>
      <c r="AVR14" s="56"/>
      <c r="AVS14" s="56"/>
      <c r="AVT14" s="56"/>
      <c r="AVU14" s="56"/>
      <c r="AVV14" s="56"/>
      <c r="AVW14" s="56"/>
      <c r="AVX14" s="56"/>
      <c r="AVY14" s="56"/>
      <c r="AVZ14" s="56"/>
      <c r="AWA14" s="56"/>
      <c r="AWB14" s="56"/>
      <c r="AWC14" s="56"/>
      <c r="AWD14" s="56"/>
      <c r="AWE14" s="56"/>
      <c r="AWF14" s="56"/>
      <c r="AWG14" s="56"/>
      <c r="AWH14" s="56"/>
      <c r="AWI14" s="56"/>
      <c r="AWJ14" s="56"/>
      <c r="AWK14" s="56"/>
      <c r="AWL14" s="56"/>
      <c r="AWM14" s="56"/>
      <c r="AWN14" s="56"/>
      <c r="AWO14" s="56"/>
      <c r="AWP14" s="56"/>
      <c r="AWQ14" s="56"/>
      <c r="AWR14" s="56"/>
      <c r="AWS14" s="56"/>
      <c r="AWT14" s="56"/>
    </row>
    <row r="15" spans="1:1294" s="79" customFormat="1" ht="19.05" customHeight="1">
      <c r="A15" s="64"/>
      <c r="B15" s="529"/>
      <c r="C15" s="83" t="s">
        <v>83</v>
      </c>
      <c r="D15" s="537"/>
      <c r="E15" s="91">
        <f>COUNTIFS(Table13514520105[[#All],[Sales]],"คุณธวัช มีแสง",Table13514520105[[#All],[ค่าขายอุปกรณ์]],"&gt;1")</f>
        <v>0</v>
      </c>
      <c r="F15" s="86">
        <f>SUMIF(Table13514520105[[#All],[Sales]],"คุณธวัช มีแสง",Table13514520105[[#All],[Total
คอมฯ อุปกรณ์]])</f>
        <v>0</v>
      </c>
      <c r="G15" s="86">
        <f t="shared" si="0"/>
        <v>0</v>
      </c>
      <c r="H15" s="86">
        <f t="shared" ref="H15:H16" si="12">SUM(F15-G15)</f>
        <v>0</v>
      </c>
      <c r="I15" s="62"/>
      <c r="J15" s="88"/>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c r="CB15" s="56"/>
      <c r="CC15" s="56"/>
      <c r="CD15" s="56"/>
      <c r="CE15" s="56"/>
      <c r="CF15" s="56"/>
      <c r="CG15" s="56"/>
      <c r="CH15" s="56"/>
      <c r="CI15" s="56"/>
      <c r="CJ15" s="56"/>
      <c r="CK15" s="56"/>
      <c r="CL15" s="56"/>
      <c r="CM15" s="56"/>
      <c r="CN15" s="56"/>
      <c r="CO15" s="56"/>
      <c r="CP15" s="56"/>
      <c r="CQ15" s="56"/>
      <c r="CR15" s="56"/>
      <c r="CS15" s="56"/>
      <c r="CT15" s="56"/>
      <c r="CU15" s="56"/>
      <c r="CV15" s="56"/>
      <c r="CW15" s="56"/>
      <c r="CX15" s="56"/>
      <c r="CY15" s="56"/>
      <c r="CZ15" s="56"/>
      <c r="DA15" s="56"/>
      <c r="DB15" s="56"/>
      <c r="DC15" s="56"/>
      <c r="DD15" s="56"/>
      <c r="DE15" s="56"/>
      <c r="DF15" s="56"/>
      <c r="DG15" s="56"/>
      <c r="DH15" s="56"/>
      <c r="DI15" s="56"/>
      <c r="DJ15" s="56"/>
      <c r="DK15" s="56"/>
      <c r="DL15" s="56"/>
      <c r="DM15" s="56"/>
      <c r="DN15" s="56"/>
      <c r="DO15" s="56"/>
      <c r="DP15" s="56"/>
      <c r="DQ15" s="56"/>
      <c r="DR15" s="56"/>
      <c r="DS15" s="56"/>
      <c r="DT15" s="56"/>
      <c r="DU15" s="56"/>
      <c r="DV15" s="56"/>
      <c r="DW15" s="56"/>
      <c r="DX15" s="56"/>
      <c r="DY15" s="56"/>
      <c r="DZ15" s="56"/>
      <c r="EA15" s="56"/>
      <c r="EB15" s="56"/>
      <c r="EC15" s="56"/>
      <c r="ED15" s="56"/>
      <c r="EE15" s="56"/>
      <c r="EF15" s="56"/>
      <c r="EG15" s="56"/>
      <c r="EH15" s="56"/>
      <c r="EI15" s="56"/>
      <c r="EJ15" s="56"/>
      <c r="EK15" s="56"/>
      <c r="EL15" s="56"/>
      <c r="EM15" s="56"/>
      <c r="EN15" s="56"/>
      <c r="EO15" s="56"/>
      <c r="EP15" s="56"/>
      <c r="EQ15" s="56"/>
      <c r="ER15" s="56"/>
      <c r="ES15" s="56"/>
      <c r="ET15" s="56"/>
      <c r="EU15" s="56"/>
      <c r="EV15" s="56"/>
      <c r="EW15" s="56"/>
      <c r="EX15" s="56"/>
      <c r="EY15" s="56"/>
      <c r="EZ15" s="56"/>
      <c r="FA15" s="56"/>
      <c r="FB15" s="56"/>
      <c r="FC15" s="56"/>
      <c r="FD15" s="56"/>
      <c r="FE15" s="56"/>
      <c r="FF15" s="56"/>
      <c r="FG15" s="56"/>
      <c r="FH15" s="56"/>
      <c r="FI15" s="56"/>
      <c r="FJ15" s="56"/>
      <c r="FK15" s="56"/>
      <c r="FL15" s="56"/>
      <c r="FM15" s="56"/>
      <c r="FN15" s="56"/>
      <c r="FO15" s="56"/>
      <c r="FP15" s="56"/>
      <c r="FQ15" s="56"/>
      <c r="FR15" s="56"/>
      <c r="FS15" s="56"/>
      <c r="FT15" s="56"/>
      <c r="FU15" s="56"/>
      <c r="FV15" s="56"/>
      <c r="FW15" s="56"/>
      <c r="FX15" s="56"/>
      <c r="FY15" s="56"/>
      <c r="FZ15" s="56"/>
      <c r="GA15" s="56"/>
      <c r="GB15" s="56"/>
      <c r="GC15" s="56"/>
      <c r="GD15" s="56"/>
      <c r="GE15" s="56"/>
      <c r="GF15" s="56"/>
      <c r="GG15" s="56"/>
      <c r="GH15" s="56"/>
      <c r="GI15" s="56"/>
      <c r="GJ15" s="56"/>
      <c r="GK15" s="56"/>
      <c r="GL15" s="56"/>
      <c r="GM15" s="56"/>
      <c r="GN15" s="56"/>
      <c r="GO15" s="56"/>
      <c r="GP15" s="56"/>
      <c r="GQ15" s="56"/>
      <c r="GR15" s="56"/>
      <c r="GS15" s="56"/>
      <c r="GT15" s="56"/>
      <c r="GU15" s="56"/>
      <c r="GV15" s="56"/>
      <c r="GW15" s="56"/>
      <c r="GX15" s="56"/>
      <c r="GY15" s="56"/>
      <c r="GZ15" s="56"/>
      <c r="HA15" s="56"/>
      <c r="HB15" s="56"/>
      <c r="HC15" s="56"/>
      <c r="HD15" s="56"/>
      <c r="HE15" s="56"/>
      <c r="HF15" s="56"/>
      <c r="HG15" s="56"/>
      <c r="HH15" s="56"/>
      <c r="HI15" s="56"/>
      <c r="HJ15" s="56"/>
      <c r="HK15" s="56"/>
      <c r="HL15" s="56"/>
      <c r="HM15" s="56"/>
      <c r="HN15" s="56"/>
      <c r="HO15" s="56"/>
      <c r="HP15" s="56"/>
      <c r="HQ15" s="56"/>
      <c r="HR15" s="56"/>
      <c r="HS15" s="56"/>
      <c r="HT15" s="56"/>
      <c r="HU15" s="56"/>
      <c r="HV15" s="56"/>
      <c r="HW15" s="56"/>
      <c r="HX15" s="56"/>
      <c r="HY15" s="56"/>
      <c r="HZ15" s="56"/>
      <c r="IA15" s="56"/>
      <c r="IB15" s="56"/>
      <c r="IC15" s="56"/>
      <c r="ID15" s="56"/>
      <c r="IE15" s="56"/>
      <c r="IF15" s="56"/>
      <c r="IG15" s="56"/>
      <c r="IH15" s="56"/>
      <c r="II15" s="56"/>
      <c r="IJ15" s="56"/>
      <c r="IK15" s="56"/>
    </row>
    <row r="16" spans="1:1294" s="79" customFormat="1" ht="19.05" customHeight="1">
      <c r="A16" s="64"/>
      <c r="B16" s="529"/>
      <c r="C16" s="83" t="s">
        <v>84</v>
      </c>
      <c r="D16" s="537"/>
      <c r="E16" s="91">
        <f>COUNTIFS(Table13514520105[[#All],[Sales]],"คุณแดง มูลสองแคว",Table13514520105[[#All],[ค่าขายอุปกรณ์]],"&gt;1")</f>
        <v>0</v>
      </c>
      <c r="F16" s="86">
        <f>SUMIF(Table13514520105[[#All],[Sales]],"คุณแดง มูลสองแคว",Table13514520105[[#All],[Total
คอมฯ อุปกรณ์]])</f>
        <v>0</v>
      </c>
      <c r="G16" s="86">
        <f t="shared" si="0"/>
        <v>0</v>
      </c>
      <c r="H16" s="86">
        <f t="shared" si="12"/>
        <v>0</v>
      </c>
      <c r="I16" s="62"/>
      <c r="J16" s="88"/>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c r="CU16" s="56"/>
      <c r="CV16" s="56"/>
      <c r="CW16" s="56"/>
      <c r="CX16" s="56"/>
      <c r="CY16" s="56"/>
      <c r="CZ16" s="56"/>
      <c r="DA16" s="56"/>
      <c r="DB16" s="56"/>
      <c r="DC16" s="56"/>
      <c r="DD16" s="56"/>
      <c r="DE16" s="56"/>
      <c r="DF16" s="56"/>
      <c r="DG16" s="56"/>
      <c r="DH16" s="56"/>
      <c r="DI16" s="56"/>
      <c r="DJ16" s="56"/>
      <c r="DK16" s="56"/>
      <c r="DL16" s="56"/>
      <c r="DM16" s="56"/>
      <c r="DN16" s="56"/>
      <c r="DO16" s="56"/>
      <c r="DP16" s="56"/>
      <c r="DQ16" s="56"/>
      <c r="DR16" s="56"/>
      <c r="DS16" s="56"/>
      <c r="DT16" s="56"/>
      <c r="DU16" s="56"/>
      <c r="DV16" s="56"/>
      <c r="DW16" s="56"/>
      <c r="DX16" s="56"/>
      <c r="DY16" s="56"/>
      <c r="DZ16" s="56"/>
      <c r="EA16" s="56"/>
      <c r="EB16" s="56"/>
      <c r="EC16" s="56"/>
      <c r="ED16" s="56"/>
      <c r="EE16" s="56"/>
      <c r="EF16" s="56"/>
      <c r="EG16" s="56"/>
      <c r="EH16" s="56"/>
      <c r="EI16" s="56"/>
      <c r="EJ16" s="56"/>
      <c r="EK16" s="56"/>
      <c r="EL16" s="56"/>
      <c r="EM16" s="56"/>
      <c r="EN16" s="56"/>
      <c r="EO16" s="56"/>
      <c r="EP16" s="56"/>
      <c r="EQ16" s="56"/>
      <c r="ER16" s="56"/>
      <c r="ES16" s="56"/>
      <c r="ET16" s="56"/>
      <c r="EU16" s="56"/>
      <c r="EV16" s="56"/>
      <c r="EW16" s="56"/>
      <c r="EX16" s="56"/>
      <c r="EY16" s="56"/>
      <c r="EZ16" s="56"/>
      <c r="FA16" s="56"/>
      <c r="FB16" s="56"/>
      <c r="FC16" s="56"/>
      <c r="FD16" s="56"/>
      <c r="FE16" s="56"/>
      <c r="FF16" s="56"/>
      <c r="FG16" s="56"/>
      <c r="FH16" s="56"/>
      <c r="FI16" s="56"/>
      <c r="FJ16" s="56"/>
      <c r="FK16" s="56"/>
      <c r="FL16" s="56"/>
      <c r="FM16" s="56"/>
      <c r="FN16" s="56"/>
      <c r="FO16" s="56"/>
      <c r="FP16" s="56"/>
      <c r="FQ16" s="56"/>
      <c r="FR16" s="56"/>
      <c r="FS16" s="56"/>
      <c r="FT16" s="56"/>
      <c r="FU16" s="56"/>
      <c r="FV16" s="56"/>
      <c r="FW16" s="56"/>
      <c r="FX16" s="56"/>
      <c r="FY16" s="56"/>
      <c r="FZ16" s="56"/>
      <c r="GA16" s="56"/>
      <c r="GB16" s="56"/>
      <c r="GC16" s="56"/>
      <c r="GD16" s="56"/>
      <c r="GE16" s="56"/>
      <c r="GF16" s="56"/>
      <c r="GG16" s="56"/>
      <c r="GH16" s="56"/>
      <c r="GI16" s="56"/>
      <c r="GJ16" s="56"/>
      <c r="GK16" s="56"/>
      <c r="GL16" s="56"/>
      <c r="GM16" s="56"/>
      <c r="GN16" s="56"/>
      <c r="GO16" s="56"/>
      <c r="GP16" s="56"/>
      <c r="GQ16" s="56"/>
      <c r="GR16" s="56"/>
      <c r="GS16" s="56"/>
      <c r="GT16" s="56"/>
      <c r="GU16" s="56"/>
      <c r="GV16" s="56"/>
      <c r="GW16" s="56"/>
      <c r="GX16" s="56"/>
      <c r="GY16" s="56"/>
      <c r="GZ16" s="56"/>
      <c r="HA16" s="56"/>
      <c r="HB16" s="56"/>
      <c r="HC16" s="56"/>
      <c r="HD16" s="56"/>
      <c r="HE16" s="56"/>
      <c r="HF16" s="56"/>
      <c r="HG16" s="56"/>
      <c r="HH16" s="56"/>
      <c r="HI16" s="56"/>
      <c r="HJ16" s="56"/>
      <c r="HK16" s="56"/>
      <c r="HL16" s="56"/>
      <c r="HM16" s="56"/>
      <c r="HN16" s="56"/>
      <c r="HO16" s="56"/>
      <c r="HP16" s="56"/>
      <c r="HQ16" s="56"/>
      <c r="HR16" s="56"/>
      <c r="HS16" s="56"/>
      <c r="HT16" s="56"/>
      <c r="HU16" s="56"/>
      <c r="HV16" s="56"/>
      <c r="HW16" s="56"/>
      <c r="HX16" s="56"/>
      <c r="HY16" s="56"/>
      <c r="HZ16" s="56"/>
      <c r="IA16" s="56"/>
      <c r="IB16" s="56"/>
      <c r="IC16" s="56"/>
      <c r="ID16" s="56"/>
      <c r="IE16" s="56"/>
      <c r="IF16" s="56"/>
      <c r="IG16" s="56"/>
      <c r="IH16" s="56"/>
      <c r="II16" s="56"/>
      <c r="IJ16" s="56"/>
      <c r="IK16" s="56"/>
    </row>
    <row r="17" spans="1:245" s="79" customFormat="1" ht="19.05" customHeight="1">
      <c r="A17" s="64"/>
      <c r="B17" s="529"/>
      <c r="C17" s="172" t="s">
        <v>85</v>
      </c>
      <c r="D17" s="537"/>
      <c r="E17" s="91">
        <f>COUNTIFS(Table13514520105[[#All],[Sales]],"คุณนิยนต์ อยู่ทะเล",Table13514520105[[#All],[ค่าขายอุปกรณ์]],"&gt;1")</f>
        <v>0</v>
      </c>
      <c r="F17" s="86">
        <f>SUMIF(Table13514520105[[#All],[Sales]],"คุณนิยนต์ อยู่ทะเล",Table13514520105[[#All],[Total
คอมฯ อุปกรณ์]])</f>
        <v>0</v>
      </c>
      <c r="G17" s="86">
        <f t="shared" ref="G17" si="13">F17*$G$3</f>
        <v>0</v>
      </c>
      <c r="H17" s="86">
        <f t="shared" ref="H17" si="14">SUM(F17-G17)</f>
        <v>0</v>
      </c>
      <c r="I17" s="62"/>
      <c r="J17" s="88"/>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c r="AO17" s="56"/>
      <c r="AP17" s="56"/>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c r="CB17" s="56"/>
      <c r="CC17" s="56"/>
      <c r="CD17" s="56"/>
      <c r="CE17" s="56"/>
      <c r="CF17" s="56"/>
      <c r="CG17" s="56"/>
      <c r="CH17" s="56"/>
      <c r="CI17" s="56"/>
      <c r="CJ17" s="56"/>
      <c r="CK17" s="56"/>
      <c r="CL17" s="56"/>
      <c r="CM17" s="56"/>
      <c r="CN17" s="56"/>
      <c r="CO17" s="56"/>
      <c r="CP17" s="56"/>
      <c r="CQ17" s="56"/>
      <c r="CR17" s="56"/>
      <c r="CS17" s="56"/>
      <c r="CT17" s="56"/>
      <c r="CU17" s="56"/>
      <c r="CV17" s="56"/>
      <c r="CW17" s="56"/>
      <c r="CX17" s="56"/>
      <c r="CY17" s="56"/>
      <c r="CZ17" s="56"/>
      <c r="DA17" s="56"/>
      <c r="DB17" s="56"/>
      <c r="DC17" s="56"/>
      <c r="DD17" s="56"/>
      <c r="DE17" s="56"/>
      <c r="DF17" s="56"/>
      <c r="DG17" s="56"/>
      <c r="DH17" s="56"/>
      <c r="DI17" s="56"/>
      <c r="DJ17" s="56"/>
      <c r="DK17" s="56"/>
      <c r="DL17" s="56"/>
      <c r="DM17" s="56"/>
      <c r="DN17" s="56"/>
      <c r="DO17" s="56"/>
      <c r="DP17" s="56"/>
      <c r="DQ17" s="56"/>
      <c r="DR17" s="56"/>
      <c r="DS17" s="56"/>
      <c r="DT17" s="56"/>
      <c r="DU17" s="56"/>
      <c r="DV17" s="56"/>
      <c r="DW17" s="56"/>
      <c r="DX17" s="56"/>
      <c r="DY17" s="56"/>
      <c r="DZ17" s="56"/>
      <c r="EA17" s="56"/>
      <c r="EB17" s="56"/>
      <c r="EC17" s="56"/>
      <c r="ED17" s="56"/>
      <c r="EE17" s="56"/>
      <c r="EF17" s="56"/>
      <c r="EG17" s="56"/>
      <c r="EH17" s="56"/>
      <c r="EI17" s="56"/>
      <c r="EJ17" s="56"/>
      <c r="EK17" s="56"/>
      <c r="EL17" s="56"/>
      <c r="EM17" s="56"/>
      <c r="EN17" s="56"/>
      <c r="EO17" s="56"/>
      <c r="EP17" s="56"/>
      <c r="EQ17" s="56"/>
      <c r="ER17" s="56"/>
      <c r="ES17" s="56"/>
      <c r="ET17" s="56"/>
      <c r="EU17" s="56"/>
      <c r="EV17" s="56"/>
      <c r="EW17" s="56"/>
      <c r="EX17" s="56"/>
      <c r="EY17" s="56"/>
      <c r="EZ17" s="56"/>
      <c r="FA17" s="56"/>
      <c r="FB17" s="56"/>
      <c r="FC17" s="56"/>
      <c r="FD17" s="56"/>
      <c r="FE17" s="56"/>
      <c r="FF17" s="56"/>
      <c r="FG17" s="56"/>
      <c r="FH17" s="56"/>
      <c r="FI17" s="56"/>
      <c r="FJ17" s="56"/>
      <c r="FK17" s="56"/>
      <c r="FL17" s="56"/>
      <c r="FM17" s="56"/>
      <c r="FN17" s="56"/>
      <c r="FO17" s="56"/>
      <c r="FP17" s="56"/>
      <c r="FQ17" s="56"/>
      <c r="FR17" s="56"/>
      <c r="FS17" s="56"/>
      <c r="FT17" s="56"/>
      <c r="FU17" s="56"/>
      <c r="FV17" s="56"/>
      <c r="FW17" s="56"/>
      <c r="FX17" s="56"/>
      <c r="FY17" s="56"/>
      <c r="FZ17" s="56"/>
      <c r="GA17" s="56"/>
      <c r="GB17" s="56"/>
      <c r="GC17" s="56"/>
      <c r="GD17" s="56"/>
      <c r="GE17" s="56"/>
      <c r="GF17" s="56"/>
      <c r="GG17" s="56"/>
      <c r="GH17" s="56"/>
      <c r="GI17" s="56"/>
      <c r="GJ17" s="56"/>
      <c r="GK17" s="56"/>
      <c r="GL17" s="56"/>
      <c r="GM17" s="56"/>
      <c r="GN17" s="56"/>
      <c r="GO17" s="56"/>
      <c r="GP17" s="56"/>
      <c r="GQ17" s="56"/>
      <c r="GR17" s="56"/>
      <c r="GS17" s="56"/>
      <c r="GT17" s="56"/>
      <c r="GU17" s="56"/>
      <c r="GV17" s="56"/>
      <c r="GW17" s="56"/>
      <c r="GX17" s="56"/>
      <c r="GY17" s="56"/>
      <c r="GZ17" s="56"/>
      <c r="HA17" s="56"/>
      <c r="HB17" s="56"/>
      <c r="HC17" s="56"/>
      <c r="HD17" s="56"/>
      <c r="HE17" s="56"/>
      <c r="HF17" s="56"/>
      <c r="HG17" s="56"/>
      <c r="HH17" s="56"/>
      <c r="HI17" s="56"/>
      <c r="HJ17" s="56"/>
      <c r="HK17" s="56"/>
      <c r="HL17" s="56"/>
      <c r="HM17" s="56"/>
      <c r="HN17" s="56"/>
      <c r="HO17" s="56"/>
      <c r="HP17" s="56"/>
      <c r="HQ17" s="56"/>
      <c r="HR17" s="56"/>
      <c r="HS17" s="56"/>
      <c r="HT17" s="56"/>
      <c r="HU17" s="56"/>
      <c r="HV17" s="56"/>
      <c r="HW17" s="56"/>
      <c r="HX17" s="56"/>
      <c r="HY17" s="56"/>
      <c r="HZ17" s="56"/>
      <c r="IA17" s="56"/>
      <c r="IB17" s="56"/>
      <c r="IC17" s="56"/>
      <c r="ID17" s="56"/>
      <c r="IE17" s="56"/>
      <c r="IF17" s="56"/>
      <c r="IG17" s="56"/>
      <c r="IH17" s="56"/>
      <c r="II17" s="56"/>
      <c r="IJ17" s="56"/>
      <c r="IK17" s="56"/>
    </row>
    <row r="18" spans="1:245" s="79" customFormat="1" ht="19.05" customHeight="1">
      <c r="A18" s="64"/>
      <c r="B18" s="529"/>
      <c r="C18" s="180" t="s">
        <v>78</v>
      </c>
      <c r="D18" s="537"/>
      <c r="E18" s="91">
        <f>COUNTIFS(Table13514520105[[#All],[Sales]],"คุณรุ่งอรุณ อินบุญรอด",Table13514520105[[#All],[ค่าขายอุปกรณ์]],"&gt;1")</f>
        <v>0</v>
      </c>
      <c r="F18" s="86">
        <f>SUMIF(Table13514520105[[#All],[Sales]],"คุณรุ่งอรุณ อินบุญรอด",Table13514520105[[#All],[Total
คอมฯ อุปกรณ์]])</f>
        <v>0</v>
      </c>
      <c r="G18" s="86">
        <f t="shared" ref="G18" si="15">F18*$G$3</f>
        <v>0</v>
      </c>
      <c r="H18" s="86">
        <f t="shared" ref="H18" si="16">SUM(F18-G18)</f>
        <v>0</v>
      </c>
      <c r="I18" s="62"/>
      <c r="J18" s="88"/>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c r="AO18" s="56"/>
      <c r="AP18" s="56"/>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c r="CB18" s="56"/>
      <c r="CC18" s="56"/>
      <c r="CD18" s="56"/>
      <c r="CE18" s="56"/>
      <c r="CF18" s="56"/>
      <c r="CG18" s="56"/>
      <c r="CH18" s="56"/>
      <c r="CI18" s="56"/>
      <c r="CJ18" s="56"/>
      <c r="CK18" s="56"/>
      <c r="CL18" s="56"/>
      <c r="CM18" s="56"/>
      <c r="CN18" s="56"/>
      <c r="CO18" s="56"/>
      <c r="CP18" s="56"/>
      <c r="CQ18" s="56"/>
      <c r="CR18" s="56"/>
      <c r="CS18" s="56"/>
      <c r="CT18" s="56"/>
      <c r="CU18" s="56"/>
      <c r="CV18" s="56"/>
      <c r="CW18" s="56"/>
      <c r="CX18" s="56"/>
      <c r="CY18" s="56"/>
      <c r="CZ18" s="56"/>
      <c r="DA18" s="56"/>
      <c r="DB18" s="56"/>
      <c r="DC18" s="56"/>
      <c r="DD18" s="56"/>
      <c r="DE18" s="56"/>
      <c r="DF18" s="56"/>
      <c r="DG18" s="56"/>
      <c r="DH18" s="56"/>
      <c r="DI18" s="56"/>
      <c r="DJ18" s="56"/>
      <c r="DK18" s="56"/>
      <c r="DL18" s="56"/>
      <c r="DM18" s="56"/>
      <c r="DN18" s="56"/>
      <c r="DO18" s="56"/>
      <c r="DP18" s="56"/>
      <c r="DQ18" s="56"/>
      <c r="DR18" s="56"/>
      <c r="DS18" s="56"/>
      <c r="DT18" s="56"/>
      <c r="DU18" s="56"/>
      <c r="DV18" s="56"/>
      <c r="DW18" s="56"/>
      <c r="DX18" s="56"/>
      <c r="DY18" s="56"/>
      <c r="DZ18" s="56"/>
      <c r="EA18" s="56"/>
      <c r="EB18" s="56"/>
      <c r="EC18" s="56"/>
      <c r="ED18" s="56"/>
      <c r="EE18" s="56"/>
      <c r="EF18" s="56"/>
      <c r="EG18" s="56"/>
      <c r="EH18" s="56"/>
      <c r="EI18" s="56"/>
      <c r="EJ18" s="56"/>
      <c r="EK18" s="56"/>
      <c r="EL18" s="56"/>
      <c r="EM18" s="56"/>
      <c r="EN18" s="56"/>
      <c r="EO18" s="56"/>
      <c r="EP18" s="56"/>
      <c r="EQ18" s="56"/>
      <c r="ER18" s="56"/>
      <c r="ES18" s="56"/>
      <c r="ET18" s="56"/>
      <c r="EU18" s="56"/>
      <c r="EV18" s="56"/>
      <c r="EW18" s="56"/>
      <c r="EX18" s="56"/>
      <c r="EY18" s="56"/>
      <c r="EZ18" s="56"/>
      <c r="FA18" s="56"/>
      <c r="FB18" s="56"/>
      <c r="FC18" s="56"/>
      <c r="FD18" s="56"/>
      <c r="FE18" s="56"/>
      <c r="FF18" s="56"/>
      <c r="FG18" s="56"/>
      <c r="FH18" s="56"/>
      <c r="FI18" s="56"/>
      <c r="FJ18" s="56"/>
      <c r="FK18" s="56"/>
      <c r="FL18" s="56"/>
      <c r="FM18" s="56"/>
      <c r="FN18" s="56"/>
      <c r="FO18" s="56"/>
      <c r="FP18" s="56"/>
      <c r="FQ18" s="56"/>
      <c r="FR18" s="56"/>
      <c r="FS18" s="56"/>
      <c r="FT18" s="56"/>
      <c r="FU18" s="56"/>
      <c r="FV18" s="56"/>
      <c r="FW18" s="56"/>
      <c r="FX18" s="56"/>
      <c r="FY18" s="56"/>
      <c r="FZ18" s="56"/>
      <c r="GA18" s="56"/>
      <c r="GB18" s="56"/>
      <c r="GC18" s="56"/>
      <c r="GD18" s="56"/>
      <c r="GE18" s="56"/>
      <c r="GF18" s="56"/>
      <c r="GG18" s="56"/>
      <c r="GH18" s="56"/>
      <c r="GI18" s="56"/>
      <c r="GJ18" s="56"/>
      <c r="GK18" s="56"/>
      <c r="GL18" s="56"/>
      <c r="GM18" s="56"/>
      <c r="GN18" s="56"/>
      <c r="GO18" s="56"/>
      <c r="GP18" s="56"/>
      <c r="GQ18" s="56"/>
      <c r="GR18" s="56"/>
      <c r="GS18" s="56"/>
      <c r="GT18" s="56"/>
      <c r="GU18" s="56"/>
      <c r="GV18" s="56"/>
      <c r="GW18" s="56"/>
      <c r="GX18" s="56"/>
      <c r="GY18" s="56"/>
      <c r="GZ18" s="56"/>
      <c r="HA18" s="56"/>
      <c r="HB18" s="56"/>
      <c r="HC18" s="56"/>
      <c r="HD18" s="56"/>
      <c r="HE18" s="56"/>
      <c r="HF18" s="56"/>
      <c r="HG18" s="56"/>
      <c r="HH18" s="56"/>
      <c r="HI18" s="56"/>
      <c r="HJ18" s="56"/>
      <c r="HK18" s="56"/>
      <c r="HL18" s="56"/>
      <c r="HM18" s="56"/>
      <c r="HN18" s="56"/>
      <c r="HO18" s="56"/>
      <c r="HP18" s="56"/>
      <c r="HQ18" s="56"/>
      <c r="HR18" s="56"/>
      <c r="HS18" s="56"/>
      <c r="HT18" s="56"/>
      <c r="HU18" s="56"/>
      <c r="HV18" s="56"/>
      <c r="HW18" s="56"/>
      <c r="HX18" s="56"/>
      <c r="HY18" s="56"/>
      <c r="HZ18" s="56"/>
      <c r="IA18" s="56"/>
      <c r="IB18" s="56"/>
      <c r="IC18" s="56"/>
      <c r="ID18" s="56"/>
      <c r="IE18" s="56"/>
      <c r="IF18" s="56"/>
      <c r="IG18" s="56"/>
      <c r="IH18" s="56"/>
      <c r="II18" s="56"/>
      <c r="IJ18" s="56"/>
      <c r="IK18" s="56"/>
    </row>
    <row r="19" spans="1:245" s="79" customFormat="1" ht="19.05" customHeight="1">
      <c r="A19" s="64"/>
      <c r="B19" s="529"/>
      <c r="C19" s="359" t="s">
        <v>79</v>
      </c>
      <c r="D19" s="537"/>
      <c r="E19" s="91">
        <f>COUNTIFS(Table13514520105[[#All],[Sales]],"คุณศศินาถ จุ้ยอยู่ทอง",Table13514520105[[#All],[ค่าขายอุปกรณ์]],"&gt;1")</f>
        <v>0</v>
      </c>
      <c r="F19" s="86">
        <f>SUMIF(Table13514520105[[#All],[Sales]],"คุณศศินาถ จุ้ยอยู่ทอง",Table13514520105[[#All],[Total
คอมฯ อุปกรณ์]])</f>
        <v>0</v>
      </c>
      <c r="G19" s="86">
        <f>F19*$G$3</f>
        <v>0</v>
      </c>
      <c r="H19" s="86">
        <f t="shared" ref="H19:H20" si="17">SUM(F19-G19)</f>
        <v>0</v>
      </c>
      <c r="I19" s="62"/>
      <c r="J19" s="88"/>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c r="AO19" s="56"/>
      <c r="AP19" s="56"/>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c r="CB19" s="56"/>
      <c r="CC19" s="56"/>
      <c r="CD19" s="56"/>
      <c r="CE19" s="56"/>
      <c r="CF19" s="56"/>
      <c r="CG19" s="56"/>
      <c r="CH19" s="56"/>
      <c r="CI19" s="56"/>
      <c r="CJ19" s="56"/>
      <c r="CK19" s="56"/>
      <c r="CL19" s="56"/>
      <c r="CM19" s="56"/>
      <c r="CN19" s="56"/>
      <c r="CO19" s="56"/>
      <c r="CP19" s="56"/>
      <c r="CQ19" s="56"/>
      <c r="CR19" s="56"/>
      <c r="CS19" s="56"/>
      <c r="CT19" s="56"/>
      <c r="CU19" s="56"/>
      <c r="CV19" s="56"/>
      <c r="CW19" s="56"/>
      <c r="CX19" s="56"/>
      <c r="CY19" s="56"/>
      <c r="CZ19" s="56"/>
      <c r="DA19" s="56"/>
      <c r="DB19" s="56"/>
      <c r="DC19" s="56"/>
      <c r="DD19" s="56"/>
      <c r="DE19" s="56"/>
      <c r="DF19" s="56"/>
      <c r="DG19" s="56"/>
      <c r="DH19" s="56"/>
      <c r="DI19" s="56"/>
      <c r="DJ19" s="56"/>
      <c r="DK19" s="56"/>
      <c r="DL19" s="56"/>
      <c r="DM19" s="56"/>
      <c r="DN19" s="56"/>
      <c r="DO19" s="56"/>
      <c r="DP19" s="56"/>
      <c r="DQ19" s="56"/>
      <c r="DR19" s="56"/>
      <c r="DS19" s="56"/>
      <c r="DT19" s="56"/>
      <c r="DU19" s="56"/>
      <c r="DV19" s="56"/>
      <c r="DW19" s="56"/>
      <c r="DX19" s="56"/>
      <c r="DY19" s="56"/>
      <c r="DZ19" s="56"/>
      <c r="EA19" s="56"/>
      <c r="EB19" s="56"/>
      <c r="EC19" s="56"/>
      <c r="ED19" s="56"/>
      <c r="EE19" s="56"/>
      <c r="EF19" s="56"/>
      <c r="EG19" s="56"/>
      <c r="EH19" s="56"/>
      <c r="EI19" s="56"/>
      <c r="EJ19" s="56"/>
      <c r="EK19" s="56"/>
      <c r="EL19" s="56"/>
      <c r="EM19" s="56"/>
      <c r="EN19" s="56"/>
      <c r="EO19" s="56"/>
      <c r="EP19" s="56"/>
      <c r="EQ19" s="56"/>
      <c r="ER19" s="56"/>
      <c r="ES19" s="56"/>
      <c r="ET19" s="56"/>
      <c r="EU19" s="56"/>
      <c r="EV19" s="56"/>
      <c r="EW19" s="56"/>
      <c r="EX19" s="56"/>
      <c r="EY19" s="56"/>
      <c r="EZ19" s="56"/>
      <c r="FA19" s="56"/>
      <c r="FB19" s="56"/>
      <c r="FC19" s="56"/>
      <c r="FD19" s="56"/>
      <c r="FE19" s="56"/>
      <c r="FF19" s="56"/>
      <c r="FG19" s="56"/>
      <c r="FH19" s="56"/>
      <c r="FI19" s="56"/>
      <c r="FJ19" s="56"/>
      <c r="FK19" s="56"/>
      <c r="FL19" s="56"/>
      <c r="FM19" s="56"/>
      <c r="FN19" s="56"/>
      <c r="FO19" s="56"/>
      <c r="FP19" s="56"/>
      <c r="FQ19" s="56"/>
      <c r="FR19" s="56"/>
      <c r="FS19" s="56"/>
      <c r="FT19" s="56"/>
      <c r="FU19" s="56"/>
      <c r="FV19" s="56"/>
      <c r="FW19" s="56"/>
      <c r="FX19" s="56"/>
      <c r="FY19" s="56"/>
      <c r="FZ19" s="56"/>
      <c r="GA19" s="56"/>
      <c r="GB19" s="56"/>
      <c r="GC19" s="56"/>
      <c r="GD19" s="56"/>
      <c r="GE19" s="56"/>
      <c r="GF19" s="56"/>
      <c r="GG19" s="56"/>
      <c r="GH19" s="56"/>
      <c r="GI19" s="56"/>
      <c r="GJ19" s="56"/>
      <c r="GK19" s="56"/>
      <c r="GL19" s="56"/>
      <c r="GM19" s="56"/>
      <c r="GN19" s="56"/>
      <c r="GO19" s="56"/>
      <c r="GP19" s="56"/>
      <c r="GQ19" s="56"/>
      <c r="GR19" s="56"/>
      <c r="GS19" s="56"/>
      <c r="GT19" s="56"/>
      <c r="GU19" s="56"/>
      <c r="GV19" s="56"/>
      <c r="GW19" s="56"/>
      <c r="GX19" s="56"/>
      <c r="GY19" s="56"/>
      <c r="GZ19" s="56"/>
      <c r="HA19" s="56"/>
      <c r="HB19" s="56"/>
      <c r="HC19" s="56"/>
      <c r="HD19" s="56"/>
      <c r="HE19" s="56"/>
      <c r="HF19" s="56"/>
      <c r="HG19" s="56"/>
      <c r="HH19" s="56"/>
      <c r="HI19" s="56"/>
      <c r="HJ19" s="56"/>
      <c r="HK19" s="56"/>
      <c r="HL19" s="56"/>
      <c r="HM19" s="56"/>
      <c r="HN19" s="56"/>
      <c r="HO19" s="56"/>
      <c r="HP19" s="56"/>
      <c r="HQ19" s="56"/>
      <c r="HR19" s="56"/>
      <c r="HS19" s="56"/>
      <c r="HT19" s="56"/>
      <c r="HU19" s="56"/>
      <c r="HV19" s="56"/>
      <c r="HW19" s="56"/>
      <c r="HX19" s="56"/>
      <c r="HY19" s="56"/>
      <c r="HZ19" s="56"/>
      <c r="IA19" s="56"/>
      <c r="IB19" s="56"/>
      <c r="IC19" s="56"/>
      <c r="ID19" s="56"/>
      <c r="IE19" s="56"/>
      <c r="IF19" s="56"/>
      <c r="IG19" s="56"/>
      <c r="IH19" s="56"/>
      <c r="II19" s="56"/>
      <c r="IJ19" s="56"/>
      <c r="IK19" s="56"/>
    </row>
    <row r="20" spans="1:245" s="79" customFormat="1" ht="19.05" customHeight="1">
      <c r="A20" s="64"/>
      <c r="B20" s="529"/>
      <c r="C20" s="359" t="s">
        <v>103</v>
      </c>
      <c r="D20" s="537"/>
      <c r="E20" s="91">
        <f>COUNTIFS(Table13514520105[[#All],[Sales]],"คุณณรงศ์ศักย์ เหล่ารัตนเวช",Table13514520105[[#All],[ค่าขายอุปกรณ์]],"&gt;1")</f>
        <v>0</v>
      </c>
      <c r="F20" s="86">
        <f>SUMIF(Table13514520105[[#All],[Sales]],"คุณณรงศ์ศักย์ เหล่ารัตนเวช",Table13514520105[[#All],[Total
คอมฯ อุปกรณ์]])</f>
        <v>0</v>
      </c>
      <c r="G20" s="86">
        <f t="shared" ref="G20" si="18">F20*$G$3</f>
        <v>0</v>
      </c>
      <c r="H20" s="86">
        <f t="shared" si="17"/>
        <v>0</v>
      </c>
      <c r="I20" s="62"/>
      <c r="J20" s="88"/>
      <c r="K20" s="56"/>
      <c r="L20" s="56"/>
      <c r="M20" s="56"/>
      <c r="N20" s="56"/>
      <c r="O20" s="56"/>
      <c r="P20" s="56"/>
      <c r="Q20" s="56"/>
      <c r="R20" s="56"/>
      <c r="S20" s="56"/>
      <c r="T20" s="56"/>
      <c r="U20" s="56"/>
      <c r="V20" s="56"/>
      <c r="W20" s="56"/>
      <c r="X20" s="56"/>
      <c r="Y20" s="56"/>
      <c r="Z20" s="56"/>
      <c r="AA20" s="56"/>
      <c r="AB20" s="56"/>
      <c r="AC20" s="56"/>
      <c r="AD20" s="56"/>
      <c r="AE20" s="56"/>
      <c r="AF20" s="56"/>
      <c r="AG20" s="56"/>
      <c r="AH20" s="56"/>
      <c r="AI20" s="56"/>
      <c r="AJ20" s="56"/>
      <c r="AK20" s="56"/>
      <c r="AL20" s="56"/>
      <c r="AM20" s="56"/>
      <c r="AN20" s="56"/>
      <c r="AO20" s="56"/>
      <c r="AP20" s="56"/>
      <c r="AQ20" s="56"/>
      <c r="AR20" s="56"/>
      <c r="AS20" s="56"/>
      <c r="AT20" s="56"/>
      <c r="AU20" s="56"/>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c r="CB20" s="56"/>
      <c r="CC20" s="56"/>
      <c r="CD20" s="56"/>
      <c r="CE20" s="56"/>
      <c r="CF20" s="56"/>
      <c r="CG20" s="56"/>
      <c r="CH20" s="56"/>
      <c r="CI20" s="56"/>
      <c r="CJ20" s="56"/>
      <c r="CK20" s="56"/>
      <c r="CL20" s="56"/>
      <c r="CM20" s="56"/>
      <c r="CN20" s="56"/>
      <c r="CO20" s="56"/>
      <c r="CP20" s="56"/>
      <c r="CQ20" s="56"/>
      <c r="CR20" s="56"/>
      <c r="CS20" s="56"/>
      <c r="CT20" s="56"/>
      <c r="CU20" s="56"/>
      <c r="CV20" s="56"/>
      <c r="CW20" s="56"/>
      <c r="CX20" s="56"/>
      <c r="CY20" s="56"/>
      <c r="CZ20" s="56"/>
      <c r="DA20" s="56"/>
      <c r="DB20" s="56"/>
      <c r="DC20" s="56"/>
      <c r="DD20" s="56"/>
      <c r="DE20" s="56"/>
      <c r="DF20" s="56"/>
      <c r="DG20" s="56"/>
      <c r="DH20" s="56"/>
      <c r="DI20" s="56"/>
      <c r="DJ20" s="56"/>
      <c r="DK20" s="56"/>
      <c r="DL20" s="56"/>
      <c r="DM20" s="56"/>
      <c r="DN20" s="56"/>
      <c r="DO20" s="56"/>
      <c r="DP20" s="56"/>
      <c r="DQ20" s="56"/>
      <c r="DR20" s="56"/>
      <c r="DS20" s="56"/>
      <c r="DT20" s="56"/>
      <c r="DU20" s="56"/>
      <c r="DV20" s="56"/>
      <c r="DW20" s="56"/>
      <c r="DX20" s="56"/>
      <c r="DY20" s="56"/>
      <c r="DZ20" s="56"/>
      <c r="EA20" s="56"/>
      <c r="EB20" s="56"/>
      <c r="EC20" s="56"/>
      <c r="ED20" s="56"/>
      <c r="EE20" s="56"/>
      <c r="EF20" s="56"/>
      <c r="EG20" s="56"/>
      <c r="EH20" s="56"/>
      <c r="EI20" s="56"/>
      <c r="EJ20" s="56"/>
      <c r="EK20" s="56"/>
      <c r="EL20" s="56"/>
      <c r="EM20" s="56"/>
      <c r="EN20" s="56"/>
      <c r="EO20" s="56"/>
      <c r="EP20" s="56"/>
      <c r="EQ20" s="56"/>
      <c r="ER20" s="56"/>
      <c r="ES20" s="56"/>
      <c r="ET20" s="56"/>
      <c r="EU20" s="56"/>
      <c r="EV20" s="56"/>
      <c r="EW20" s="56"/>
      <c r="EX20" s="56"/>
      <c r="EY20" s="56"/>
      <c r="EZ20" s="56"/>
      <c r="FA20" s="56"/>
      <c r="FB20" s="56"/>
      <c r="FC20" s="56"/>
      <c r="FD20" s="56"/>
      <c r="FE20" s="56"/>
      <c r="FF20" s="56"/>
      <c r="FG20" s="56"/>
      <c r="FH20" s="56"/>
      <c r="FI20" s="56"/>
      <c r="FJ20" s="56"/>
      <c r="FK20" s="56"/>
      <c r="FL20" s="56"/>
      <c r="FM20" s="56"/>
      <c r="FN20" s="56"/>
      <c r="FO20" s="56"/>
      <c r="FP20" s="56"/>
      <c r="FQ20" s="56"/>
      <c r="FR20" s="56"/>
      <c r="FS20" s="56"/>
      <c r="FT20" s="56"/>
      <c r="FU20" s="56"/>
      <c r="FV20" s="56"/>
      <c r="FW20" s="56"/>
      <c r="FX20" s="56"/>
      <c r="FY20" s="56"/>
      <c r="FZ20" s="56"/>
      <c r="GA20" s="56"/>
      <c r="GB20" s="56"/>
      <c r="GC20" s="56"/>
      <c r="GD20" s="56"/>
      <c r="GE20" s="56"/>
      <c r="GF20" s="56"/>
      <c r="GG20" s="56"/>
      <c r="GH20" s="56"/>
      <c r="GI20" s="56"/>
      <c r="GJ20" s="56"/>
      <c r="GK20" s="56"/>
      <c r="GL20" s="56"/>
      <c r="GM20" s="56"/>
      <c r="GN20" s="56"/>
      <c r="GO20" s="56"/>
      <c r="GP20" s="56"/>
      <c r="GQ20" s="56"/>
      <c r="GR20" s="56"/>
      <c r="GS20" s="56"/>
      <c r="GT20" s="56"/>
      <c r="GU20" s="56"/>
      <c r="GV20" s="56"/>
      <c r="GW20" s="56"/>
      <c r="GX20" s="56"/>
      <c r="GY20" s="56"/>
      <c r="GZ20" s="56"/>
      <c r="HA20" s="56"/>
      <c r="HB20" s="56"/>
      <c r="HC20" s="56"/>
      <c r="HD20" s="56"/>
      <c r="HE20" s="56"/>
      <c r="HF20" s="56"/>
      <c r="HG20" s="56"/>
      <c r="HH20" s="56"/>
      <c r="HI20" s="56"/>
      <c r="HJ20" s="56"/>
      <c r="HK20" s="56"/>
      <c r="HL20" s="56"/>
      <c r="HM20" s="56"/>
      <c r="HN20" s="56"/>
      <c r="HO20" s="56"/>
      <c r="HP20" s="56"/>
      <c r="HQ20" s="56"/>
      <c r="HR20" s="56"/>
      <c r="HS20" s="56"/>
      <c r="HT20" s="56"/>
      <c r="HU20" s="56"/>
      <c r="HV20" s="56"/>
      <c r="HW20" s="56"/>
      <c r="HX20" s="56"/>
      <c r="HY20" s="56"/>
      <c r="HZ20" s="56"/>
      <c r="IA20" s="56"/>
      <c r="IB20" s="56"/>
      <c r="IC20" s="56"/>
      <c r="ID20" s="56"/>
      <c r="IE20" s="56"/>
      <c r="IF20" s="56"/>
      <c r="IG20" s="56"/>
      <c r="IH20" s="56"/>
      <c r="II20" s="56"/>
      <c r="IJ20" s="56"/>
      <c r="IK20" s="56"/>
    </row>
    <row r="21" spans="1:245" s="79" customFormat="1" ht="19.05" customHeight="1">
      <c r="A21" s="64"/>
      <c r="B21" s="529"/>
      <c r="C21" s="358" t="s">
        <v>168</v>
      </c>
      <c r="D21" s="537"/>
      <c r="E21" s="91">
        <f>COUNTIFS(Table13514520105[[#All],[Sales]],"คุณชนัฐฎา สนคะมี",Table13514520105[[#All],[ค่าขายอุปกรณ์]],"&gt;1")</f>
        <v>0</v>
      </c>
      <c r="F21" s="86">
        <f>SUMIF(Table13514520105[[#All],[Sales]],"คุณชนัฐฎา สนคะมี",Table13514520105[[#All],[Total
คอมฯ อุปกรณ์]])</f>
        <v>0</v>
      </c>
      <c r="G21" s="86">
        <f t="shared" ref="G21" si="19">F21*$G$3</f>
        <v>0</v>
      </c>
      <c r="H21" s="86">
        <f t="shared" ref="H21" si="20">SUM(F21-G21)</f>
        <v>0</v>
      </c>
      <c r="I21" s="62"/>
      <c r="J21" s="88"/>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c r="CB21" s="56"/>
      <c r="CC21" s="56"/>
      <c r="CD21" s="56"/>
      <c r="CE21" s="56"/>
      <c r="CF21" s="56"/>
      <c r="CG21" s="56"/>
      <c r="CH21" s="56"/>
      <c r="CI21" s="56"/>
      <c r="CJ21" s="56"/>
      <c r="CK21" s="56"/>
      <c r="CL21" s="56"/>
      <c r="CM21" s="56"/>
      <c r="CN21" s="56"/>
      <c r="CO21" s="56"/>
      <c r="CP21" s="56"/>
      <c r="CQ21" s="56"/>
      <c r="CR21" s="56"/>
      <c r="CS21" s="56"/>
      <c r="CT21" s="56"/>
      <c r="CU21" s="56"/>
      <c r="CV21" s="56"/>
      <c r="CW21" s="56"/>
      <c r="CX21" s="56"/>
      <c r="CY21" s="56"/>
      <c r="CZ21" s="56"/>
      <c r="DA21" s="56"/>
      <c r="DB21" s="56"/>
      <c r="DC21" s="56"/>
      <c r="DD21" s="56"/>
      <c r="DE21" s="56"/>
      <c r="DF21" s="56"/>
      <c r="DG21" s="56"/>
      <c r="DH21" s="56"/>
      <c r="DI21" s="56"/>
      <c r="DJ21" s="56"/>
      <c r="DK21" s="56"/>
      <c r="DL21" s="56"/>
      <c r="DM21" s="56"/>
      <c r="DN21" s="56"/>
      <c r="DO21" s="56"/>
      <c r="DP21" s="56"/>
      <c r="DQ21" s="56"/>
      <c r="DR21" s="56"/>
      <c r="DS21" s="56"/>
      <c r="DT21" s="56"/>
      <c r="DU21" s="56"/>
      <c r="DV21" s="56"/>
      <c r="DW21" s="56"/>
      <c r="DX21" s="56"/>
      <c r="DY21" s="56"/>
      <c r="DZ21" s="56"/>
      <c r="EA21" s="56"/>
      <c r="EB21" s="56"/>
      <c r="EC21" s="56"/>
      <c r="ED21" s="56"/>
      <c r="EE21" s="56"/>
      <c r="EF21" s="56"/>
      <c r="EG21" s="56"/>
      <c r="EH21" s="56"/>
      <c r="EI21" s="56"/>
      <c r="EJ21" s="56"/>
      <c r="EK21" s="56"/>
      <c r="EL21" s="56"/>
      <c r="EM21" s="56"/>
      <c r="EN21" s="56"/>
      <c r="EO21" s="56"/>
      <c r="EP21" s="56"/>
      <c r="EQ21" s="56"/>
      <c r="ER21" s="56"/>
      <c r="ES21" s="56"/>
      <c r="ET21" s="56"/>
      <c r="EU21" s="56"/>
      <c r="EV21" s="56"/>
      <c r="EW21" s="56"/>
      <c r="EX21" s="56"/>
      <c r="EY21" s="56"/>
      <c r="EZ21" s="56"/>
      <c r="FA21" s="56"/>
      <c r="FB21" s="56"/>
      <c r="FC21" s="56"/>
      <c r="FD21" s="56"/>
      <c r="FE21" s="56"/>
      <c r="FF21" s="56"/>
      <c r="FG21" s="56"/>
      <c r="FH21" s="56"/>
      <c r="FI21" s="56"/>
      <c r="FJ21" s="56"/>
      <c r="FK21" s="56"/>
      <c r="FL21" s="56"/>
      <c r="FM21" s="56"/>
      <c r="FN21" s="56"/>
      <c r="FO21" s="56"/>
      <c r="FP21" s="56"/>
      <c r="FQ21" s="56"/>
      <c r="FR21" s="56"/>
      <c r="FS21" s="56"/>
      <c r="FT21" s="56"/>
      <c r="FU21" s="56"/>
      <c r="FV21" s="56"/>
      <c r="FW21" s="56"/>
      <c r="FX21" s="56"/>
      <c r="FY21" s="56"/>
      <c r="FZ21" s="56"/>
      <c r="GA21" s="56"/>
      <c r="GB21" s="56"/>
      <c r="GC21" s="56"/>
      <c r="GD21" s="56"/>
      <c r="GE21" s="56"/>
      <c r="GF21" s="56"/>
      <c r="GG21" s="56"/>
      <c r="GH21" s="56"/>
      <c r="GI21" s="56"/>
      <c r="GJ21" s="56"/>
      <c r="GK21" s="56"/>
      <c r="GL21" s="56"/>
      <c r="GM21" s="56"/>
      <c r="GN21" s="56"/>
      <c r="GO21" s="56"/>
      <c r="GP21" s="56"/>
      <c r="GQ21" s="56"/>
      <c r="GR21" s="56"/>
      <c r="GS21" s="56"/>
      <c r="GT21" s="56"/>
      <c r="GU21" s="56"/>
      <c r="GV21" s="56"/>
      <c r="GW21" s="56"/>
      <c r="GX21" s="56"/>
      <c r="GY21" s="56"/>
      <c r="GZ21" s="56"/>
      <c r="HA21" s="56"/>
      <c r="HB21" s="56"/>
      <c r="HC21" s="56"/>
      <c r="HD21" s="56"/>
      <c r="HE21" s="56"/>
      <c r="HF21" s="56"/>
      <c r="HG21" s="56"/>
      <c r="HH21" s="56"/>
      <c r="HI21" s="56"/>
      <c r="HJ21" s="56"/>
      <c r="HK21" s="56"/>
      <c r="HL21" s="56"/>
      <c r="HM21" s="56"/>
      <c r="HN21" s="56"/>
      <c r="HO21" s="56"/>
      <c r="HP21" s="56"/>
      <c r="HQ21" s="56"/>
      <c r="HR21" s="56"/>
      <c r="HS21" s="56"/>
      <c r="HT21" s="56"/>
      <c r="HU21" s="56"/>
      <c r="HV21" s="56"/>
      <c r="HW21" s="56"/>
      <c r="HX21" s="56"/>
      <c r="HY21" s="56"/>
      <c r="HZ21" s="56"/>
      <c r="IA21" s="56"/>
      <c r="IB21" s="56"/>
      <c r="IC21" s="56"/>
      <c r="ID21" s="56"/>
      <c r="IE21" s="56"/>
      <c r="IF21" s="56"/>
      <c r="IG21" s="56"/>
      <c r="IH21" s="56"/>
      <c r="II21" s="56"/>
      <c r="IJ21" s="56"/>
      <c r="IK21" s="56"/>
    </row>
    <row r="22" spans="1:245" s="79" customFormat="1" ht="19.05" customHeight="1">
      <c r="A22" s="81"/>
      <c r="B22" s="529"/>
      <c r="C22" s="84" t="s">
        <v>81</v>
      </c>
      <c r="D22" s="538"/>
      <c r="E22" s="91">
        <f>COUNTIFS(Table13514520105[[#All],[Sales]],"คุณธัญลักษณ์ หมื่นหลุบกุง",Table13514520105[[#All],[ค่าขายอุปกรณ์]],"&gt;1")</f>
        <v>0</v>
      </c>
      <c r="F22" s="86">
        <f>SUMIF(Table13514520105[[#All],[Sales]],"คุณธัญลักษณ์ หมื่นหลุบกุง",Table13514520105[[#All],[Total
คอมฯ อุปกรณ์]])</f>
        <v>0</v>
      </c>
      <c r="G22" s="86">
        <f t="shared" ref="G22:G23" si="21">F22*$G$3</f>
        <v>0</v>
      </c>
      <c r="H22" s="86">
        <f t="shared" ref="H22" si="22">SUM(F22-G22)</f>
        <v>0</v>
      </c>
      <c r="I22" s="62"/>
      <c r="J22" s="62"/>
      <c r="K22" s="56"/>
      <c r="L22" s="56"/>
      <c r="M22" s="56"/>
      <c r="N22" s="56"/>
      <c r="O22" s="56"/>
      <c r="P22" s="56"/>
      <c r="Q22" s="56"/>
      <c r="R22" s="56"/>
      <c r="S22" s="56"/>
      <c r="T22" s="56"/>
      <c r="U22" s="56"/>
      <c r="V22" s="56"/>
      <c r="W22" s="56"/>
      <c r="X22" s="56"/>
      <c r="Y22" s="56"/>
      <c r="Z22" s="56"/>
      <c r="AA22" s="56"/>
      <c r="AB22" s="56"/>
      <c r="AC22" s="56"/>
      <c r="AD22" s="56"/>
      <c r="AE22" s="56"/>
      <c r="AF22" s="56"/>
      <c r="AG22" s="56"/>
      <c r="AH22" s="56"/>
      <c r="AI22" s="56"/>
      <c r="AJ22" s="56"/>
      <c r="AK22" s="56"/>
      <c r="AL22" s="56"/>
      <c r="AM22" s="56"/>
      <c r="AN22" s="56"/>
      <c r="AO22" s="56"/>
      <c r="AP22" s="56"/>
      <c r="AQ22" s="56"/>
      <c r="AR22" s="56"/>
      <c r="AS22" s="56"/>
      <c r="AT22" s="56"/>
      <c r="AU22" s="56"/>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c r="CB22" s="56"/>
      <c r="CC22" s="56"/>
      <c r="CD22" s="56"/>
      <c r="CE22" s="56"/>
      <c r="CF22" s="56"/>
      <c r="CG22" s="56"/>
      <c r="CH22" s="56"/>
      <c r="CI22" s="56"/>
      <c r="CJ22" s="56"/>
      <c r="CK22" s="56"/>
      <c r="CL22" s="56"/>
      <c r="CM22" s="56"/>
      <c r="CN22" s="56"/>
      <c r="CO22" s="56"/>
      <c r="CP22" s="56"/>
      <c r="CQ22" s="56"/>
      <c r="CR22" s="56"/>
      <c r="CS22" s="56"/>
      <c r="CT22" s="56"/>
      <c r="CU22" s="56"/>
      <c r="CV22" s="56"/>
      <c r="CW22" s="56"/>
      <c r="CX22" s="56"/>
      <c r="CY22" s="56"/>
      <c r="CZ22" s="56"/>
      <c r="DA22" s="56"/>
      <c r="DB22" s="56"/>
      <c r="DC22" s="56"/>
      <c r="DD22" s="56"/>
      <c r="DE22" s="56"/>
      <c r="DF22" s="56"/>
      <c r="DG22" s="56"/>
      <c r="DH22" s="56"/>
      <c r="DI22" s="56"/>
      <c r="DJ22" s="56"/>
      <c r="DK22" s="56"/>
      <c r="DL22" s="56"/>
      <c r="DM22" s="56"/>
      <c r="DN22" s="56"/>
      <c r="DO22" s="56"/>
      <c r="DP22" s="56"/>
      <c r="DQ22" s="56"/>
      <c r="DR22" s="56"/>
      <c r="DS22" s="56"/>
      <c r="DT22" s="56"/>
      <c r="DU22" s="56"/>
      <c r="DV22" s="56"/>
      <c r="DW22" s="56"/>
      <c r="DX22" s="56"/>
      <c r="DY22" s="56"/>
      <c r="DZ22" s="56"/>
      <c r="EA22" s="56"/>
      <c r="EB22" s="56"/>
      <c r="EC22" s="56"/>
      <c r="ED22" s="56"/>
      <c r="EE22" s="56"/>
      <c r="EF22" s="56"/>
      <c r="EG22" s="56"/>
      <c r="EH22" s="56"/>
      <c r="EI22" s="56"/>
      <c r="EJ22" s="56"/>
      <c r="EK22" s="56"/>
      <c r="EL22" s="56"/>
      <c r="EM22" s="56"/>
      <c r="EN22" s="56"/>
      <c r="EO22" s="56"/>
      <c r="EP22" s="56"/>
      <c r="EQ22" s="56"/>
      <c r="ER22" s="56"/>
      <c r="ES22" s="56"/>
      <c r="ET22" s="56"/>
      <c r="EU22" s="56"/>
      <c r="EV22" s="56"/>
      <c r="EW22" s="56"/>
      <c r="EX22" s="56"/>
      <c r="EY22" s="56"/>
      <c r="EZ22" s="56"/>
      <c r="FA22" s="56"/>
      <c r="FB22" s="56"/>
      <c r="FC22" s="56"/>
      <c r="FD22" s="56"/>
      <c r="FE22" s="56"/>
      <c r="FF22" s="56"/>
      <c r="FG22" s="56"/>
      <c r="FH22" s="56"/>
      <c r="FI22" s="56"/>
      <c r="FJ22" s="56"/>
      <c r="FK22" s="56"/>
      <c r="FL22" s="56"/>
      <c r="FM22" s="56"/>
      <c r="FN22" s="56"/>
      <c r="FO22" s="56"/>
      <c r="FP22" s="56"/>
      <c r="FQ22" s="56"/>
      <c r="FR22" s="56"/>
      <c r="FS22" s="56"/>
      <c r="FT22" s="56"/>
      <c r="FU22" s="56"/>
      <c r="FV22" s="56"/>
      <c r="FW22" s="56"/>
      <c r="FX22" s="56"/>
      <c r="FY22" s="56"/>
      <c r="FZ22" s="56"/>
      <c r="GA22" s="56"/>
      <c r="GB22" s="56"/>
      <c r="GC22" s="56"/>
      <c r="GD22" s="56"/>
      <c r="GE22" s="56"/>
      <c r="GF22" s="56"/>
      <c r="GG22" s="56"/>
      <c r="GH22" s="56"/>
      <c r="GI22" s="56"/>
      <c r="GJ22" s="56"/>
      <c r="GK22" s="56"/>
      <c r="GL22" s="56"/>
      <c r="GM22" s="56"/>
      <c r="GN22" s="56"/>
      <c r="GO22" s="56"/>
      <c r="GP22" s="56"/>
      <c r="GQ22" s="56"/>
      <c r="GR22" s="56"/>
      <c r="GS22" s="56"/>
      <c r="GT22" s="56"/>
      <c r="GU22" s="56"/>
      <c r="GV22" s="56"/>
      <c r="GW22" s="56"/>
      <c r="GX22" s="56"/>
      <c r="GY22" s="56"/>
      <c r="GZ22" s="56"/>
      <c r="HA22" s="56"/>
      <c r="HB22" s="56"/>
      <c r="HC22" s="56"/>
      <c r="HD22" s="56"/>
      <c r="HE22" s="56"/>
      <c r="HF22" s="56"/>
      <c r="HG22" s="56"/>
      <c r="HH22" s="56"/>
      <c r="HI22" s="56"/>
      <c r="HJ22" s="56"/>
      <c r="HK22" s="56"/>
      <c r="HL22" s="56"/>
      <c r="HM22" s="56"/>
      <c r="HN22" s="56"/>
      <c r="HO22" s="56"/>
      <c r="HP22" s="56"/>
      <c r="HQ22" s="56"/>
      <c r="HR22" s="56"/>
      <c r="HS22" s="56"/>
      <c r="HT22" s="56"/>
      <c r="HU22" s="56"/>
      <c r="HV22" s="56"/>
      <c r="HW22" s="56"/>
      <c r="HX22" s="56"/>
      <c r="HY22" s="56"/>
      <c r="HZ22" s="56"/>
      <c r="IA22" s="56"/>
      <c r="IB22" s="56"/>
      <c r="IC22" s="56"/>
      <c r="ID22" s="56"/>
      <c r="IE22" s="56"/>
      <c r="IF22" s="56"/>
      <c r="IG22" s="56"/>
      <c r="IH22" s="56"/>
      <c r="II22" s="56"/>
      <c r="IJ22" s="56"/>
      <c r="IK22" s="56"/>
    </row>
    <row r="23" spans="1:245" s="56" customFormat="1" ht="19.05" customHeight="1">
      <c r="A23" s="80">
        <v>3</v>
      </c>
      <c r="B23" s="530" t="s">
        <v>20</v>
      </c>
      <c r="C23" s="83" t="s">
        <v>82</v>
      </c>
      <c r="D23" s="519" t="s">
        <v>27</v>
      </c>
      <c r="E23" s="91">
        <f>COUNTIFS(Table13514520105[[#All],[Sales]],"คุณนิมิต จุ้ยอยู่ทอง",Table13514520105[[#All],[Total 
คอมฯค่าติดตั้ง/ค่าเชื่อมสัญญาณ]],"&gt;1")</f>
        <v>0</v>
      </c>
      <c r="F23" s="86">
        <f>SUMIF(Table13514520105[[#All],[Sales]],"คุณนิมิต จุ้ยอยู่ทอง",Table13514520105[[#All],[Total 
คอมฯค่าติดตั้ง/ค่าเชื่อมสัญญาณ]])</f>
        <v>0</v>
      </c>
      <c r="G23" s="86">
        <f t="shared" si="21"/>
        <v>0</v>
      </c>
      <c r="H23" s="86">
        <f>SUM(F23-G23)</f>
        <v>0</v>
      </c>
      <c r="I23" s="62"/>
      <c r="J23" s="65"/>
    </row>
    <row r="24" spans="1:245" s="56" customFormat="1" ht="19.05" customHeight="1">
      <c r="A24" s="64"/>
      <c r="B24" s="530"/>
      <c r="C24" s="85" t="s">
        <v>83</v>
      </c>
      <c r="D24" s="520"/>
      <c r="E24" s="91">
        <f>COUNTIFS(Table13514520105[[#All],[Sales]],"คุณธวัช มีแสง",Table13514520105[[#All],[Total 
คอมฯค่าติดตั้ง/ค่าเชื่อมสัญญาณ]],"&gt;1")</f>
        <v>0</v>
      </c>
      <c r="F24" s="86">
        <f>SUMIF(Table13514520105[[#All],[Sales]],"คุณธวัช มีแสง",Table13514520105[[#All],[Total 
คอมฯค่าติดตั้ง/ค่าเชื่อมสัญญาณ]])</f>
        <v>0</v>
      </c>
      <c r="G24" s="86">
        <f t="shared" ref="G24:G31" si="23">F24*$G$3</f>
        <v>0</v>
      </c>
      <c r="H24" s="86">
        <f t="shared" ref="H24:H31" si="24">SUM(F24-G24)</f>
        <v>0</v>
      </c>
      <c r="I24" s="62"/>
      <c r="J24" s="65"/>
    </row>
    <row r="25" spans="1:245" s="56" customFormat="1" ht="19.05" customHeight="1">
      <c r="A25" s="64"/>
      <c r="B25" s="530"/>
      <c r="C25" s="85" t="s">
        <v>84</v>
      </c>
      <c r="D25" s="520"/>
      <c r="E25" s="91">
        <f>COUNTIFS(Table13514520105[[#All],[Sales]],"คุณแดง มูลสองแคว",Table13514520105[[#All],[Total 
คอมฯค่าติดตั้ง/ค่าเชื่อมสัญญาณ]],"&gt;1")</f>
        <v>0</v>
      </c>
      <c r="F25" s="86">
        <f>SUMIF(Table13514520105[[#All],[Sales]],"คุณแดง มูลสองแคว",Table13514520105[[#All],[Total 
คอมฯค่าติดตั้ง/ค่าเชื่อมสัญญาณ]])</f>
        <v>0</v>
      </c>
      <c r="G25" s="86">
        <f t="shared" si="23"/>
        <v>0</v>
      </c>
      <c r="H25" s="86">
        <f t="shared" si="24"/>
        <v>0</v>
      </c>
      <c r="I25" s="62"/>
      <c r="J25" s="65"/>
    </row>
    <row r="26" spans="1:245" s="56" customFormat="1" ht="19.05" customHeight="1">
      <c r="A26" s="64"/>
      <c r="B26" s="531"/>
      <c r="C26" s="172" t="s">
        <v>85</v>
      </c>
      <c r="D26" s="520"/>
      <c r="E26" s="91">
        <f>COUNTIFS(Table13514520105[[#All],[Sales]],"คุณนิยนต์ อยู่ทะเล",Table13514520105[[#All],[Total 
คอมฯค่าติดตั้ง/ค่าเชื่อมสัญญาณ]],"&gt;1")</f>
        <v>0</v>
      </c>
      <c r="F26" s="86">
        <f>SUMIF(Table13514520105[[#All],[Sales]],"คุณนิยนต์ อยู่ทะเล",Table13514520105[[#All],[Total 
คอมฯค่าติดตั้ง/ค่าเชื่อมสัญญาณ]])</f>
        <v>0</v>
      </c>
      <c r="G26" s="86">
        <f t="shared" si="23"/>
        <v>0</v>
      </c>
      <c r="H26" s="86">
        <f t="shared" si="24"/>
        <v>0</v>
      </c>
      <c r="I26" s="62"/>
      <c r="J26" s="65"/>
    </row>
    <row r="27" spans="1:245" s="56" customFormat="1" ht="19.05" customHeight="1">
      <c r="A27" s="64"/>
      <c r="B27" s="532"/>
      <c r="C27" s="180" t="s">
        <v>78</v>
      </c>
      <c r="D27" s="520"/>
      <c r="E27" s="91">
        <f>COUNTIFS(Table13514520105[[#All],[Sales]],"คุณรุ่งอรุณ อินบุญรอด",Table13514520105[[#All],[Total 
คอมฯค่าติดตั้ง/ค่าเชื่อมสัญญาณ]],"&gt;1")</f>
        <v>0</v>
      </c>
      <c r="F27" s="86">
        <f>SUMIF(Table13514520105[[#All],[Sales]],"คุณรุ่งอรุณ อินบุญรอด",Table13514520105[[#All],[Total 
คอมฯค่าติดตั้ง/ค่าเชื่อมสัญญาณ]])</f>
        <v>0</v>
      </c>
      <c r="G27" s="86">
        <f t="shared" si="23"/>
        <v>0</v>
      </c>
      <c r="H27" s="86">
        <f t="shared" si="24"/>
        <v>0</v>
      </c>
      <c r="I27" s="62"/>
      <c r="J27" s="65"/>
    </row>
    <row r="28" spans="1:245" s="56" customFormat="1" ht="19.05" customHeight="1">
      <c r="A28" s="64"/>
      <c r="B28" s="533"/>
      <c r="C28" s="359" t="s">
        <v>79</v>
      </c>
      <c r="D28" s="520"/>
      <c r="E28" s="91">
        <f>COUNTIFS(Table13514520105[[#All],[Sales]],"คุณศศินาถ จุ้ยอยู่ทอง",Table13514520105[[#All],[Total 
คอมฯค่าติดตั้ง/ค่าเชื่อมสัญญาณ]],"&gt;1")</f>
        <v>0</v>
      </c>
      <c r="F28" s="86">
        <f>SUMIF(Table13514520105[[#All],[Sales]],"คุณศศินาถ จุ้ยอยู่ทอง",Table13514520105[[#All],[Total 
คอมฯค่าติดตั้ง/ค่าเชื่อมสัญญาณ]])</f>
        <v>0</v>
      </c>
      <c r="G28" s="86">
        <f t="shared" si="23"/>
        <v>0</v>
      </c>
      <c r="H28" s="86">
        <f t="shared" si="24"/>
        <v>0</v>
      </c>
      <c r="I28" s="62"/>
      <c r="J28" s="65"/>
    </row>
    <row r="29" spans="1:245" s="56" customFormat="1" ht="19.05" customHeight="1">
      <c r="A29" s="64"/>
      <c r="B29" s="533"/>
      <c r="C29" s="359" t="s">
        <v>103</v>
      </c>
      <c r="D29" s="520"/>
      <c r="E29" s="91">
        <f>COUNTIFS(Table13514520105[[#All],[Sales]],"คุณณรงศ์ศักย์ เหล่ารัตนเวช",Table13514520105[[#All],[Total 
คอมฯค่าติดตั้ง/ค่าเชื่อมสัญญาณ]],"&gt;1")</f>
        <v>0</v>
      </c>
      <c r="F29" s="86">
        <f>SUMIF(Table13514520105[[#All],[Sales]],"คุณณรงศ์ศักย์ เหล่ารัตนเวช",Table13514520105[[#All],[Total 
คอมฯค่าติดตั้ง/ค่าเชื่อมสัญญาณ]])</f>
        <v>0</v>
      </c>
      <c r="G29" s="86">
        <f t="shared" si="23"/>
        <v>0</v>
      </c>
      <c r="H29" s="86">
        <f t="shared" si="24"/>
        <v>0</v>
      </c>
      <c r="I29" s="62"/>
      <c r="J29" s="65"/>
    </row>
    <row r="30" spans="1:245" s="56" customFormat="1" ht="19.05" customHeight="1">
      <c r="A30" s="64"/>
      <c r="B30" s="533"/>
      <c r="C30" s="358" t="s">
        <v>168</v>
      </c>
      <c r="D30" s="520"/>
      <c r="E30" s="91">
        <f>COUNTIFS(Table13514520105[[#All],[Sales]],"คุณชนัฐฎา สนคะมี",Table13514520105[[#All],[Total 
คอมฯค่าติดตั้ง/ค่าเชื่อมสัญญาณ]],"&gt;1")</f>
        <v>0</v>
      </c>
      <c r="F30" s="86">
        <f>SUMIF(Table13514520105[[#All],[Sales]],"คุณชนัฐฎา สนคะมี",Table13514520105[[#All],[Total 
คอมฯค่าติดตั้ง/ค่าเชื่อมสัญญาณ]])</f>
        <v>0</v>
      </c>
      <c r="G30" s="86">
        <f t="shared" ref="G30" si="25">F30*$G$3</f>
        <v>0</v>
      </c>
      <c r="H30" s="86">
        <f t="shared" ref="H30" si="26">SUM(F30-G30)</f>
        <v>0</v>
      </c>
      <c r="I30" s="62"/>
      <c r="J30" s="65"/>
    </row>
    <row r="31" spans="1:245" s="56" customFormat="1" ht="19.05" customHeight="1">
      <c r="A31" s="64"/>
      <c r="B31" s="530"/>
      <c r="C31" s="155" t="s">
        <v>81</v>
      </c>
      <c r="D31" s="521"/>
      <c r="E31" s="91">
        <f>COUNTIFS(Table13514520105[[#All],[Sales]],"คุณธัญลักษณ์ หมื่นหลุบกุง",Table13514520105[[#All],[Total 
คอมฯค่าติดตั้ง/ค่าเชื่อมสัญญาณ]],"&gt;1")</f>
        <v>0</v>
      </c>
      <c r="F31" s="86">
        <f>SUMIF(Table13514520105[[#All],[Sales]],"คุณธัญลักษณ์ หมื่นหลุบกุง",Table13514520105[[#All],[Total 
คอมฯค่าติดตั้ง/ค่าเชื่อมสัญญาณ]])</f>
        <v>0</v>
      </c>
      <c r="G31" s="86">
        <f t="shared" si="23"/>
        <v>0</v>
      </c>
      <c r="H31" s="86">
        <f t="shared" si="24"/>
        <v>0</v>
      </c>
      <c r="I31" s="65"/>
      <c r="J31" s="65"/>
    </row>
    <row r="32" spans="1:245" s="56" customFormat="1" ht="21" customHeight="1">
      <c r="A32" s="66"/>
      <c r="B32" s="67" t="s">
        <v>12</v>
      </c>
      <c r="C32" s="67"/>
      <c r="D32" s="67"/>
      <c r="E32" s="68">
        <f t="shared" ref="E32:H32" si="27">SUM(E5:E31)</f>
        <v>4</v>
      </c>
      <c r="F32" s="68">
        <f t="shared" si="27"/>
        <v>18542.060000000001</v>
      </c>
      <c r="G32" s="68">
        <f t="shared" si="27"/>
        <v>0</v>
      </c>
      <c r="H32" s="82">
        <f t="shared" si="27"/>
        <v>18542.060000000001</v>
      </c>
      <c r="I32" s="65"/>
      <c r="J32" s="65"/>
    </row>
    <row r="33" spans="2:13" s="56" customFormat="1" ht="13.95" customHeight="1">
      <c r="B33" s="96"/>
      <c r="C33" s="96"/>
      <c r="D33" s="96"/>
      <c r="E33" s="97"/>
      <c r="F33" s="97"/>
      <c r="G33" s="97"/>
      <c r="H33" s="109"/>
      <c r="I33" s="97"/>
    </row>
    <row r="34" spans="2:13" s="56" customFormat="1" ht="7.95" customHeight="1">
      <c r="B34" s="96"/>
      <c r="C34" s="96"/>
      <c r="D34" s="96"/>
      <c r="E34" s="97"/>
      <c r="F34" s="97"/>
      <c r="G34" s="97"/>
      <c r="H34" s="97"/>
      <c r="I34" s="97"/>
    </row>
    <row r="35" spans="2:13" ht="19.95" customHeight="1">
      <c r="B35" s="522" t="s">
        <v>106</v>
      </c>
      <c r="C35" s="522"/>
      <c r="D35" s="522"/>
      <c r="E35" s="522"/>
      <c r="F35" s="522"/>
      <c r="G35" s="522"/>
      <c r="H35" s="522"/>
      <c r="I35" s="522"/>
      <c r="J35" s="522"/>
      <c r="K35" s="522"/>
      <c r="L35" s="522"/>
      <c r="M35" s="522"/>
    </row>
    <row r="36" spans="2:13" s="56" customFormat="1" ht="14.55" customHeight="1">
      <c r="B36" s="522"/>
      <c r="C36" s="522"/>
      <c r="D36" s="522"/>
      <c r="E36" s="522"/>
      <c r="F36" s="522"/>
      <c r="G36" s="522"/>
      <c r="H36" s="522"/>
      <c r="I36" s="522"/>
      <c r="J36" s="522"/>
      <c r="K36" s="522"/>
      <c r="L36" s="522"/>
      <c r="M36" s="522"/>
    </row>
    <row r="37" spans="2:13" s="369" customFormat="1" ht="70.2" customHeight="1">
      <c r="B37" s="385" t="s">
        <v>42</v>
      </c>
      <c r="C37" s="385" t="s">
        <v>13</v>
      </c>
      <c r="D37" s="385" t="s">
        <v>35</v>
      </c>
      <c r="E37" s="386" t="s">
        <v>33</v>
      </c>
      <c r="F37" s="386" t="s">
        <v>15</v>
      </c>
      <c r="G37" s="386" t="s">
        <v>34</v>
      </c>
      <c r="H37" s="387" t="s">
        <v>32</v>
      </c>
      <c r="I37" s="385" t="s">
        <v>30</v>
      </c>
      <c r="J37" s="387" t="s">
        <v>66</v>
      </c>
      <c r="K37" s="385" t="s">
        <v>67</v>
      </c>
      <c r="L37" s="388" t="s">
        <v>89</v>
      </c>
      <c r="M37" s="381" t="s">
        <v>90</v>
      </c>
    </row>
    <row r="38" spans="2:13" ht="19.95" customHeight="1">
      <c r="B38" s="364" t="s">
        <v>23</v>
      </c>
      <c r="C38" s="361" t="s">
        <v>91</v>
      </c>
      <c r="D38" s="365" t="s">
        <v>82</v>
      </c>
      <c r="E38" s="400">
        <f>SUM(G65)</f>
        <v>3406.5450000000001</v>
      </c>
      <c r="F38" s="401">
        <v>0</v>
      </c>
      <c r="G38" s="402">
        <f>SUM(E38-F38)</f>
        <v>3406.5450000000001</v>
      </c>
      <c r="H38" s="366">
        <v>0</v>
      </c>
      <c r="I38" s="403">
        <f>SUM(G38-H38)</f>
        <v>3406.5450000000001</v>
      </c>
      <c r="J38" s="404">
        <f>I38*3%</f>
        <v>102.19635</v>
      </c>
      <c r="K38" s="405">
        <f>I38-J38</f>
        <v>3304.3486499999999</v>
      </c>
      <c r="L38" s="363" t="s">
        <v>101</v>
      </c>
      <c r="M38" s="294" t="s">
        <v>94</v>
      </c>
    </row>
    <row r="39" spans="2:13" ht="19.95" customHeight="1">
      <c r="B39" s="364"/>
      <c r="C39" s="361" t="s">
        <v>91</v>
      </c>
      <c r="D39" s="365" t="s">
        <v>83</v>
      </c>
      <c r="E39" s="400">
        <f>SUM(G66)</f>
        <v>0</v>
      </c>
      <c r="F39" s="401"/>
      <c r="G39" s="402">
        <f t="shared" ref="G39:G49" si="28">SUM(E39-F39)</f>
        <v>0</v>
      </c>
      <c r="H39" s="366">
        <v>0</v>
      </c>
      <c r="I39" s="403">
        <f t="shared" ref="I39:I49" si="29">SUM(G39-H39)</f>
        <v>0</v>
      </c>
      <c r="J39" s="404">
        <f t="shared" ref="J39:J49" si="30">I39*3%</f>
        <v>0</v>
      </c>
      <c r="K39" s="405">
        <f t="shared" ref="K39:K49" si="31">I39-J39</f>
        <v>0</v>
      </c>
      <c r="L39" s="363" t="s">
        <v>101</v>
      </c>
      <c r="M39" s="294" t="s">
        <v>95</v>
      </c>
    </row>
    <row r="40" spans="2:13" ht="19.95" customHeight="1">
      <c r="B40" s="364"/>
      <c r="C40" s="361" t="s">
        <v>91</v>
      </c>
      <c r="D40" s="365" t="s">
        <v>84</v>
      </c>
      <c r="E40" s="406">
        <f>SUM(G67)</f>
        <v>3000</v>
      </c>
      <c r="F40" s="402">
        <v>0</v>
      </c>
      <c r="G40" s="402">
        <f t="shared" ref="G40" si="32">SUM(E40-F40)</f>
        <v>3000</v>
      </c>
      <c r="H40" s="362">
        <v>0</v>
      </c>
      <c r="I40" s="403">
        <f t="shared" ref="I40" si="33">SUM(G40-H40)</f>
        <v>3000</v>
      </c>
      <c r="J40" s="404">
        <f t="shared" ref="J40" si="34">I40*3%</f>
        <v>90</v>
      </c>
      <c r="K40" s="405">
        <f t="shared" ref="K40" si="35">I40-J40</f>
        <v>2910</v>
      </c>
      <c r="L40" s="363" t="s">
        <v>101</v>
      </c>
      <c r="M40" s="294" t="s">
        <v>96</v>
      </c>
    </row>
    <row r="41" spans="2:13" ht="19.95" customHeight="1">
      <c r="B41" s="364"/>
      <c r="C41" s="361" t="s">
        <v>17</v>
      </c>
      <c r="D41" s="365" t="s">
        <v>85</v>
      </c>
      <c r="E41" s="406">
        <f>SUM(G68)</f>
        <v>0</v>
      </c>
      <c r="F41" s="402">
        <v>0</v>
      </c>
      <c r="G41" s="402">
        <f t="shared" ref="G41" si="36">SUM(E41-F41)</f>
        <v>0</v>
      </c>
      <c r="H41" s="362">
        <v>0</v>
      </c>
      <c r="I41" s="403">
        <f t="shared" ref="I41" si="37">SUM(G41-H41)</f>
        <v>0</v>
      </c>
      <c r="J41" s="404">
        <f t="shared" ref="J41" si="38">I41*3%</f>
        <v>0</v>
      </c>
      <c r="K41" s="405">
        <f t="shared" ref="K41" si="39">I41-J41</f>
        <v>0</v>
      </c>
      <c r="L41" s="363" t="s">
        <v>101</v>
      </c>
      <c r="M41" s="294" t="s">
        <v>97</v>
      </c>
    </row>
    <row r="42" spans="2:13" ht="19.95" customHeight="1">
      <c r="B42" s="364"/>
      <c r="C42" s="361" t="s">
        <v>91</v>
      </c>
      <c r="D42" s="365" t="s">
        <v>78</v>
      </c>
      <c r="E42" s="406">
        <f>SUM(G69)</f>
        <v>2625</v>
      </c>
      <c r="F42" s="402">
        <v>0</v>
      </c>
      <c r="G42" s="402">
        <f t="shared" ref="G42" si="40">SUM(E42-F42)</f>
        <v>2625</v>
      </c>
      <c r="H42" s="362">
        <v>0</v>
      </c>
      <c r="I42" s="403">
        <f t="shared" ref="I42" si="41">SUM(G42-H42)</f>
        <v>2625</v>
      </c>
      <c r="J42" s="404">
        <f t="shared" ref="J42" si="42">I42*3%</f>
        <v>78.75</v>
      </c>
      <c r="K42" s="405">
        <f t="shared" ref="K42" si="43">I42-J42</f>
        <v>2546.25</v>
      </c>
      <c r="L42" s="363" t="s">
        <v>101</v>
      </c>
      <c r="M42" s="294" t="s">
        <v>98</v>
      </c>
    </row>
    <row r="43" spans="2:13" ht="19.95" customHeight="1">
      <c r="B43" s="364"/>
      <c r="C43" s="361" t="s">
        <v>91</v>
      </c>
      <c r="D43" s="365" t="s">
        <v>79</v>
      </c>
      <c r="E43" s="406">
        <f>SUM(G70)</f>
        <v>4875</v>
      </c>
      <c r="F43" s="402">
        <v>0</v>
      </c>
      <c r="G43" s="402">
        <f t="shared" ref="G43" si="44">SUM(E43-F43)</f>
        <v>4875</v>
      </c>
      <c r="H43" s="362">
        <v>0</v>
      </c>
      <c r="I43" s="403">
        <f t="shared" ref="I43" si="45">SUM(G43-H43)</f>
        <v>4875</v>
      </c>
      <c r="J43" s="404">
        <f t="shared" ref="J43" si="46">I43*3%</f>
        <v>146.25</v>
      </c>
      <c r="K43" s="405">
        <f t="shared" ref="K43" si="47">I43-J43</f>
        <v>4728.75</v>
      </c>
      <c r="L43" s="363" t="s">
        <v>101</v>
      </c>
      <c r="M43" s="294" t="s">
        <v>99</v>
      </c>
    </row>
    <row r="44" spans="2:13" ht="19.95" customHeight="1">
      <c r="B44" s="364"/>
      <c r="C44" s="361" t="s">
        <v>91</v>
      </c>
      <c r="D44" s="365" t="s">
        <v>103</v>
      </c>
      <c r="E44" s="406">
        <f>SUM(G71)</f>
        <v>0</v>
      </c>
      <c r="F44" s="402">
        <v>0</v>
      </c>
      <c r="G44" s="402">
        <f t="shared" ref="G44" si="48">SUM(E44-F44)</f>
        <v>0</v>
      </c>
      <c r="H44" s="362">
        <v>0</v>
      </c>
      <c r="I44" s="403">
        <f t="shared" ref="I44" si="49">SUM(G44-H44)</f>
        <v>0</v>
      </c>
      <c r="J44" s="404">
        <f t="shared" ref="J44" si="50">I44*3%</f>
        <v>0</v>
      </c>
      <c r="K44" s="405">
        <f t="shared" ref="K44" si="51">I44-J44</f>
        <v>0</v>
      </c>
      <c r="L44" s="363" t="s">
        <v>101</v>
      </c>
      <c r="M44" s="294" t="s">
        <v>104</v>
      </c>
    </row>
    <row r="45" spans="2:13" ht="19.95" customHeight="1">
      <c r="B45" s="364"/>
      <c r="C45" s="361" t="s">
        <v>17</v>
      </c>
      <c r="D45" s="365" t="s">
        <v>168</v>
      </c>
      <c r="E45" s="406">
        <f>SUM(G72)</f>
        <v>0</v>
      </c>
      <c r="F45" s="402">
        <v>0</v>
      </c>
      <c r="G45" s="402">
        <f t="shared" ref="G45" si="52">SUM(E45-F45)</f>
        <v>0</v>
      </c>
      <c r="H45" s="362">
        <v>0</v>
      </c>
      <c r="I45" s="403">
        <f t="shared" ref="I45" si="53">SUM(G45-H45)</f>
        <v>0</v>
      </c>
      <c r="J45" s="404">
        <f t="shared" ref="J45" si="54">I45*3%</f>
        <v>0</v>
      </c>
      <c r="K45" s="405">
        <f t="shared" ref="K45" si="55">I45-J45</f>
        <v>0</v>
      </c>
      <c r="L45" s="293" t="s">
        <v>101</v>
      </c>
      <c r="M45" s="368" t="s">
        <v>172</v>
      </c>
    </row>
    <row r="46" spans="2:13" ht="19.95" customHeight="1">
      <c r="B46" s="364"/>
      <c r="C46" s="361" t="s">
        <v>91</v>
      </c>
      <c r="D46" s="365" t="s">
        <v>81</v>
      </c>
      <c r="E46" s="406">
        <f t="shared" ref="E46" si="56">SUM(G73)</f>
        <v>0</v>
      </c>
      <c r="F46" s="402">
        <v>0</v>
      </c>
      <c r="G46" s="402">
        <f t="shared" si="28"/>
        <v>0</v>
      </c>
      <c r="H46" s="362">
        <v>0</v>
      </c>
      <c r="I46" s="403">
        <f t="shared" si="29"/>
        <v>0</v>
      </c>
      <c r="J46" s="404">
        <f t="shared" si="30"/>
        <v>0</v>
      </c>
      <c r="K46" s="405">
        <f t="shared" si="31"/>
        <v>0</v>
      </c>
      <c r="L46" s="363" t="s">
        <v>101</v>
      </c>
      <c r="M46" s="295" t="s">
        <v>100</v>
      </c>
    </row>
    <row r="47" spans="2:13" ht="19.95" customHeight="1">
      <c r="B47" s="364" t="s">
        <v>71</v>
      </c>
      <c r="C47" s="361" t="s">
        <v>91</v>
      </c>
      <c r="D47" s="365" t="s">
        <v>83</v>
      </c>
      <c r="E47" s="406">
        <f>SUM(G74)</f>
        <v>927.10300000000007</v>
      </c>
      <c r="F47" s="402">
        <v>0</v>
      </c>
      <c r="G47" s="402">
        <f t="shared" si="28"/>
        <v>927.10300000000007</v>
      </c>
      <c r="H47" s="362">
        <v>0</v>
      </c>
      <c r="I47" s="403">
        <f t="shared" si="29"/>
        <v>927.10300000000007</v>
      </c>
      <c r="J47" s="404">
        <f t="shared" si="30"/>
        <v>27.813090000000003</v>
      </c>
      <c r="K47" s="405">
        <f t="shared" si="31"/>
        <v>899.28991000000008</v>
      </c>
      <c r="L47" s="363" t="s">
        <v>101</v>
      </c>
      <c r="M47" s="293" t="s">
        <v>95</v>
      </c>
    </row>
    <row r="48" spans="2:13" ht="19.95" customHeight="1">
      <c r="B48" s="364" t="s">
        <v>24</v>
      </c>
      <c r="C48" s="361" t="s">
        <v>72</v>
      </c>
      <c r="D48" s="365" t="s">
        <v>111</v>
      </c>
      <c r="E48" s="406">
        <f>SUM(G75)</f>
        <v>2225.0472</v>
      </c>
      <c r="F48" s="402">
        <v>0</v>
      </c>
      <c r="G48" s="402">
        <f t="shared" si="28"/>
        <v>2225.0472</v>
      </c>
      <c r="H48" s="362">
        <v>0</v>
      </c>
      <c r="I48" s="403">
        <f t="shared" si="29"/>
        <v>2225.0472</v>
      </c>
      <c r="J48" s="404">
        <f t="shared" si="30"/>
        <v>66.751415999999992</v>
      </c>
      <c r="K48" s="405">
        <f t="shared" si="31"/>
        <v>2158.2957839999999</v>
      </c>
      <c r="L48" s="363" t="s">
        <v>101</v>
      </c>
      <c r="M48" s="293" t="s">
        <v>112</v>
      </c>
    </row>
    <row r="49" spans="1:13" ht="19.95" customHeight="1">
      <c r="B49" s="364" t="s">
        <v>25</v>
      </c>
      <c r="C49" s="361" t="s">
        <v>72</v>
      </c>
      <c r="D49" s="365" t="s">
        <v>92</v>
      </c>
      <c r="E49" s="406">
        <f>SUM(G76)</f>
        <v>1483.3648000000001</v>
      </c>
      <c r="F49" s="402">
        <v>0</v>
      </c>
      <c r="G49" s="402">
        <f t="shared" si="28"/>
        <v>1483.3648000000001</v>
      </c>
      <c r="H49" s="362">
        <v>0</v>
      </c>
      <c r="I49" s="403">
        <f t="shared" si="29"/>
        <v>1483.3648000000001</v>
      </c>
      <c r="J49" s="404">
        <f t="shared" si="30"/>
        <v>44.500943999999997</v>
      </c>
      <c r="K49" s="405">
        <f t="shared" si="31"/>
        <v>1438.8638560000002</v>
      </c>
      <c r="L49" s="363" t="s">
        <v>101</v>
      </c>
      <c r="M49" s="293" t="s">
        <v>102</v>
      </c>
    </row>
    <row r="50" spans="1:13" ht="23.4" customHeight="1">
      <c r="B50" s="367"/>
      <c r="C50" s="368"/>
      <c r="D50" s="407"/>
      <c r="E50" s="408"/>
      <c r="F50" s="401"/>
      <c r="G50" s="409">
        <f>SUM(G38:G49)</f>
        <v>18542.060000000001</v>
      </c>
      <c r="H50" s="409">
        <f>SUM(H38:H49)</f>
        <v>0</v>
      </c>
      <c r="I50" s="410">
        <f>SUM(I38:I49)</f>
        <v>18542.060000000001</v>
      </c>
      <c r="J50" s="409">
        <f>SUM(J38:J49)</f>
        <v>556.26179999999999</v>
      </c>
      <c r="K50" s="410">
        <f>SUM(K38:K49)</f>
        <v>17985.798200000001</v>
      </c>
      <c r="L50" s="411"/>
      <c r="M50" s="411"/>
    </row>
    <row r="51" spans="1:13" ht="15.6">
      <c r="B51" s="72"/>
      <c r="C51" s="72"/>
      <c r="D51" s="73"/>
      <c r="E51" s="347"/>
      <c r="F51" s="348"/>
      <c r="G51" s="348"/>
      <c r="H51" s="349"/>
      <c r="I51" s="69"/>
      <c r="J51" s="69"/>
    </row>
    <row r="52" spans="1:13" ht="15.6">
      <c r="B52" s="72"/>
      <c r="C52" s="72"/>
      <c r="D52" s="73"/>
      <c r="E52" s="347"/>
      <c r="F52" s="348"/>
      <c r="G52" s="348"/>
      <c r="H52" s="348"/>
      <c r="I52" s="348"/>
      <c r="J52" s="69"/>
    </row>
    <row r="53" spans="1:13" s="302" customFormat="1" ht="14.55" customHeight="1">
      <c r="E53" s="350"/>
      <c r="F53" s="350"/>
      <c r="G53" s="350"/>
      <c r="H53" s="350"/>
      <c r="I53" s="69"/>
      <c r="J53" s="69"/>
      <c r="K53" s="69"/>
      <c r="L53" s="69"/>
      <c r="M53" s="69"/>
    </row>
    <row r="54" spans="1:13" ht="13.8">
      <c r="E54" s="351"/>
      <c r="F54" s="351"/>
      <c r="G54" s="351"/>
      <c r="H54" s="351"/>
      <c r="I54" s="69"/>
      <c r="J54" s="69"/>
    </row>
    <row r="55" spans="1:13" ht="13.8">
      <c r="E55" s="351"/>
      <c r="F55" s="351"/>
      <c r="G55" s="351"/>
      <c r="H55" s="351"/>
      <c r="I55" s="69"/>
      <c r="J55" s="69"/>
    </row>
    <row r="56" spans="1:13" ht="13.8">
      <c r="E56" s="351"/>
      <c r="F56" s="351"/>
      <c r="G56" s="351"/>
      <c r="H56" s="351"/>
      <c r="I56" s="69"/>
      <c r="J56" s="69"/>
    </row>
    <row r="57" spans="1:13" ht="13.8">
      <c r="E57" s="351"/>
      <c r="F57" s="351"/>
      <c r="G57" s="351"/>
      <c r="H57" s="351"/>
      <c r="I57" s="69"/>
      <c r="J57" s="69"/>
    </row>
    <row r="58" spans="1:13" ht="13.8">
      <c r="A58" s="75"/>
      <c r="B58" s="76"/>
      <c r="C58" s="76"/>
      <c r="E58" s="77"/>
      <c r="F58" s="69"/>
      <c r="G58" s="69"/>
      <c r="H58" s="113"/>
      <c r="I58" s="113"/>
      <c r="J58" s="69"/>
    </row>
    <row r="59" spans="1:13" s="56" customFormat="1" ht="13.8">
      <c r="E59" s="55"/>
      <c r="F59" s="55"/>
      <c r="G59" s="55"/>
      <c r="H59" s="113"/>
      <c r="I59" s="113"/>
      <c r="J59" s="69"/>
      <c r="K59" s="69"/>
    </row>
    <row r="60" spans="1:13" s="56" customFormat="1" ht="13.8">
      <c r="E60" s="55"/>
      <c r="F60" s="55"/>
      <c r="G60" s="55"/>
      <c r="H60" s="113"/>
      <c r="I60" s="113"/>
      <c r="J60" s="69"/>
      <c r="K60" s="69"/>
    </row>
    <row r="61" spans="1:13" s="56" customFormat="1" ht="13.8">
      <c r="E61" s="55"/>
      <c r="F61" s="55"/>
      <c r="G61" s="55"/>
      <c r="H61" s="113"/>
      <c r="I61" s="113"/>
      <c r="J61" s="69"/>
      <c r="K61" s="69"/>
    </row>
    <row r="62" spans="1:13" s="56" customFormat="1" ht="13.8" hidden="1">
      <c r="E62" s="55"/>
      <c r="F62" s="55"/>
      <c r="G62" s="55"/>
      <c r="H62" s="113"/>
      <c r="I62" s="113"/>
      <c r="J62" s="69"/>
      <c r="K62" s="69"/>
    </row>
    <row r="63" spans="1:13" ht="19.95" hidden="1" customHeight="1">
      <c r="B63" s="382" t="s">
        <v>93</v>
      </c>
      <c r="C63" s="383"/>
      <c r="D63" s="383"/>
      <c r="E63" s="383"/>
      <c r="F63" s="383"/>
      <c r="G63" s="384"/>
      <c r="H63" s="113"/>
      <c r="I63" s="113"/>
      <c r="J63" s="69"/>
    </row>
    <row r="64" spans="1:13" ht="19.95" hidden="1" customHeight="1">
      <c r="B64" s="110" t="s">
        <v>42</v>
      </c>
      <c r="C64" s="110" t="s">
        <v>13</v>
      </c>
      <c r="D64" s="110" t="s">
        <v>14</v>
      </c>
      <c r="E64" s="111" t="s">
        <v>22</v>
      </c>
      <c r="F64" s="111" t="s">
        <v>15</v>
      </c>
      <c r="G64" s="170" t="s">
        <v>16</v>
      </c>
      <c r="H64" s="113"/>
      <c r="I64" s="113"/>
      <c r="J64" s="69"/>
    </row>
    <row r="65" spans="2:10" ht="19.95" hidden="1" customHeight="1">
      <c r="B65" s="558" t="s">
        <v>23</v>
      </c>
      <c r="C65" s="557" t="s">
        <v>91</v>
      </c>
      <c r="D65" s="331" t="s">
        <v>82</v>
      </c>
      <c r="E65" s="115">
        <v>0.75</v>
      </c>
      <c r="F65" s="104">
        <v>0</v>
      </c>
      <c r="G65" s="114">
        <f>SUMIF($C4:$C32,"คุณนิมิต จุ้ยอยู่ทอง",$H4:$H32)*E65</f>
        <v>3406.5450000000001</v>
      </c>
      <c r="H65" s="116"/>
      <c r="I65" s="113"/>
      <c r="J65" s="69"/>
    </row>
    <row r="66" spans="2:10" ht="19.95" hidden="1" customHeight="1">
      <c r="B66" s="124"/>
      <c r="C66" s="557" t="s">
        <v>91</v>
      </c>
      <c r="D66" s="331" t="s">
        <v>83</v>
      </c>
      <c r="E66" s="115">
        <v>0.75</v>
      </c>
      <c r="F66" s="104">
        <v>0</v>
      </c>
      <c r="G66" s="114">
        <f>SUMIF($C5:$C33,"คุณธวัช มีแสง",$H5:$H33)*E66</f>
        <v>0</v>
      </c>
      <c r="H66" s="116"/>
      <c r="I66" s="113"/>
      <c r="J66" s="69"/>
    </row>
    <row r="67" spans="2:10" ht="19.95" hidden="1" customHeight="1">
      <c r="B67" s="124"/>
      <c r="C67" s="557" t="s">
        <v>91</v>
      </c>
      <c r="D67" s="331" t="s">
        <v>84</v>
      </c>
      <c r="E67" s="115">
        <v>0.75</v>
      </c>
      <c r="F67" s="104">
        <v>0</v>
      </c>
      <c r="G67" s="114">
        <f>SUMIF($C5:$C32,"คุณแดง มูลสองแคว",$H5:$H32)*E67</f>
        <v>3000</v>
      </c>
      <c r="H67" s="116"/>
      <c r="I67" s="113"/>
      <c r="J67" s="69"/>
    </row>
    <row r="68" spans="2:10" ht="19.95" hidden="1" customHeight="1">
      <c r="B68" s="124"/>
      <c r="C68" s="557" t="s">
        <v>17</v>
      </c>
      <c r="D68" s="336" t="s">
        <v>85</v>
      </c>
      <c r="E68" s="115">
        <v>0.75</v>
      </c>
      <c r="F68" s="104">
        <v>0</v>
      </c>
      <c r="G68" s="114">
        <f>SUMIF($C7:$C35,"คุณนิยนต์ อยู่ทะเล",$H7:$H35)*E68</f>
        <v>0</v>
      </c>
      <c r="H68" s="116"/>
      <c r="I68" s="113"/>
      <c r="J68" s="69"/>
    </row>
    <row r="69" spans="2:10" ht="19.95" hidden="1" customHeight="1">
      <c r="B69" s="124"/>
      <c r="C69" s="557" t="s">
        <v>91</v>
      </c>
      <c r="D69" s="337" t="s">
        <v>78</v>
      </c>
      <c r="E69" s="115">
        <v>0.75</v>
      </c>
      <c r="F69" s="104">
        <v>0</v>
      </c>
      <c r="G69" s="114">
        <f>SUMIF($C8:$C36,"คุณรุ่งอรุณ อินบุญรอด",$H8:$H36)*E69</f>
        <v>2625</v>
      </c>
      <c r="H69" s="116"/>
      <c r="I69" s="113"/>
      <c r="J69" s="69"/>
    </row>
    <row r="70" spans="2:10" ht="19.95" hidden="1" customHeight="1">
      <c r="B70" s="124"/>
      <c r="C70" s="557" t="s">
        <v>91</v>
      </c>
      <c r="D70" s="337" t="s">
        <v>79</v>
      </c>
      <c r="E70" s="115">
        <v>0.75</v>
      </c>
      <c r="F70" s="104">
        <v>0</v>
      </c>
      <c r="G70" s="114">
        <f>SUMIF($C9:$C37,"คุณศศินาถ จุ้ยอยู่ทอง",$H9:$H37)*E70</f>
        <v>4875</v>
      </c>
      <c r="H70" s="116"/>
      <c r="I70" s="113"/>
      <c r="J70" s="69"/>
    </row>
    <row r="71" spans="2:10" ht="19.95" hidden="1" customHeight="1">
      <c r="B71" s="124"/>
      <c r="C71" s="557" t="s">
        <v>91</v>
      </c>
      <c r="D71" s="357" t="s">
        <v>103</v>
      </c>
      <c r="E71" s="115">
        <v>0.75</v>
      </c>
      <c r="F71" s="104">
        <v>0</v>
      </c>
      <c r="G71" s="114">
        <f>SUMIF($C10:$C38,"คุณณรงศ์ศักย์ เหล่ารัตนเวช",$H10:$H38)*E71</f>
        <v>0</v>
      </c>
      <c r="H71" s="116"/>
      <c r="I71" s="113"/>
      <c r="J71" s="69"/>
    </row>
    <row r="72" spans="2:10" ht="19.95" hidden="1" customHeight="1">
      <c r="B72" s="124"/>
      <c r="C72" s="557" t="s">
        <v>17</v>
      </c>
      <c r="D72" s="365" t="s">
        <v>168</v>
      </c>
      <c r="E72" s="115">
        <v>0.75</v>
      </c>
      <c r="F72" s="104">
        <v>0</v>
      </c>
      <c r="G72" s="114">
        <f>SUMIF($C11:$C39,"คุณชนัฐฎา สนคะมี",$H11:$H39)*E72</f>
        <v>0</v>
      </c>
      <c r="H72" s="116"/>
      <c r="I72" s="113"/>
      <c r="J72" s="69"/>
    </row>
    <row r="73" spans="2:10" ht="19.95" hidden="1" customHeight="1">
      <c r="B73" s="123"/>
      <c r="C73" s="557" t="s">
        <v>91</v>
      </c>
      <c r="D73" s="331" t="s">
        <v>81</v>
      </c>
      <c r="E73" s="115">
        <v>0.75</v>
      </c>
      <c r="F73" s="104">
        <v>0</v>
      </c>
      <c r="G73" s="114">
        <f>SUMIF($C11:$C39,"คุณธัญลักษณ์ หมื่นหลุบกุง",$H11:$H39)*E73</f>
        <v>0</v>
      </c>
      <c r="H73" s="116"/>
      <c r="I73" s="113"/>
      <c r="J73" s="69"/>
    </row>
    <row r="74" spans="2:10" ht="19.95" hidden="1" customHeight="1">
      <c r="B74" s="123" t="s">
        <v>71</v>
      </c>
      <c r="C74" s="115" t="s">
        <v>91</v>
      </c>
      <c r="D74" s="331" t="s">
        <v>83</v>
      </c>
      <c r="E74" s="115">
        <v>0.05</v>
      </c>
      <c r="F74" s="104">
        <v>0</v>
      </c>
      <c r="G74" s="114">
        <f>$H$32*E74</f>
        <v>927.10300000000007</v>
      </c>
      <c r="H74" s="113"/>
      <c r="I74" s="113"/>
      <c r="J74" s="69"/>
    </row>
    <row r="75" spans="2:10" ht="19.95" hidden="1" customHeight="1">
      <c r="B75" s="117" t="s">
        <v>24</v>
      </c>
      <c r="C75" s="115" t="s">
        <v>72</v>
      </c>
      <c r="D75" s="331" t="s">
        <v>111</v>
      </c>
      <c r="E75" s="115">
        <v>0.12</v>
      </c>
      <c r="F75" s="104">
        <v>0</v>
      </c>
      <c r="G75" s="114">
        <f>$H$32*E75</f>
        <v>2225.0472</v>
      </c>
      <c r="H75" s="113"/>
      <c r="I75" s="127"/>
      <c r="J75" s="69"/>
    </row>
    <row r="76" spans="2:10" ht="19.95" hidden="1" customHeight="1">
      <c r="B76" s="117" t="s">
        <v>25</v>
      </c>
      <c r="C76" s="115" t="s">
        <v>72</v>
      </c>
      <c r="D76" s="331" t="s">
        <v>92</v>
      </c>
      <c r="E76" s="115">
        <v>0.08</v>
      </c>
      <c r="F76" s="104">
        <v>0</v>
      </c>
      <c r="G76" s="114">
        <f>$H$32*E76</f>
        <v>1483.3648000000001</v>
      </c>
      <c r="H76" s="113"/>
      <c r="I76" s="113"/>
      <c r="J76" s="69"/>
    </row>
    <row r="77" spans="2:10" ht="21" hidden="1" customHeight="1">
      <c r="B77" s="72"/>
      <c r="C77" s="72"/>
      <c r="D77" s="73"/>
      <c r="E77" s="74"/>
      <c r="F77" s="71"/>
      <c r="G77" s="378">
        <f>SUM(G65:G76)</f>
        <v>18542.060000000001</v>
      </c>
      <c r="H77" s="113"/>
      <c r="I77" s="69"/>
      <c r="J77" s="69"/>
    </row>
    <row r="78" spans="2:10" s="56" customFormat="1" ht="13.95" customHeight="1">
      <c r="E78" s="55"/>
      <c r="F78" s="55"/>
      <c r="G78" s="55"/>
      <c r="H78" s="113"/>
      <c r="I78" s="55"/>
    </row>
    <row r="79" spans="2:10" s="56" customFormat="1" ht="14.55" customHeight="1">
      <c r="E79" s="55"/>
      <c r="F79" s="55"/>
      <c r="G79" s="55"/>
      <c r="H79" s="113"/>
      <c r="I79" s="55"/>
    </row>
    <row r="80" spans="2:10" ht="13.8">
      <c r="H80" s="113"/>
    </row>
    <row r="81" spans="8:8" ht="13.95" customHeight="1">
      <c r="H81" s="113"/>
    </row>
    <row r="82" spans="8:8" ht="13.95" customHeight="1"/>
    <row r="83" spans="8:8" ht="13.95" customHeight="1"/>
    <row r="84" spans="8:8" ht="13.8"/>
    <row r="85" spans="8:8" ht="13.8"/>
    <row r="86" spans="8:8" ht="13.8"/>
    <row r="87" spans="8:8" ht="13.8"/>
    <row r="88" spans="8:8" ht="13.8"/>
    <row r="89" spans="8:8" ht="13.8"/>
    <row r="90" spans="8:8" ht="13.8"/>
    <row r="91" spans="8:8" ht="13.8"/>
    <row r="92" spans="8:8" ht="13.8"/>
    <row r="93" spans="8:8" ht="13.8"/>
    <row r="94" spans="8:8" ht="13.8"/>
    <row r="95" spans="8:8" ht="13.8"/>
    <row r="96" spans="8:8" ht="13.8"/>
    <row r="97" ht="13.8"/>
    <row r="98" ht="13.8"/>
    <row r="99" ht="13.8"/>
    <row r="100" ht="13.8"/>
    <row r="101" ht="13.8"/>
    <row r="102" ht="13.8"/>
    <row r="103" ht="13.8"/>
    <row r="104" ht="13.8"/>
    <row r="105" ht="13.8"/>
    <row r="106" ht="13.8"/>
    <row r="107" ht="13.8"/>
    <row r="108" ht="13.8"/>
    <row r="109" ht="13.8"/>
    <row r="110" ht="13.8"/>
    <row r="111" ht="13.8"/>
    <row r="112" ht="13.8"/>
    <row r="113" ht="13.8"/>
    <row r="114" ht="13.8"/>
    <row r="115" ht="13.8"/>
    <row r="116" ht="13.8"/>
    <row r="117" ht="13.8"/>
    <row r="118" ht="13.8"/>
    <row r="119" ht="13.8"/>
    <row r="120" ht="13.8"/>
    <row r="121" ht="13.8"/>
    <row r="122" ht="13.8"/>
    <row r="123" ht="13.8"/>
    <row r="124" ht="13.8"/>
    <row r="125" ht="13.8"/>
    <row r="126" ht="13.8"/>
    <row r="127" ht="13.8"/>
    <row r="128" ht="13.8"/>
    <row r="129" ht="13.8"/>
    <row r="130" ht="13.8"/>
    <row r="131" ht="13.8"/>
    <row r="132" ht="13.8"/>
    <row r="133" ht="13.8"/>
    <row r="134" ht="13.8"/>
    <row r="135" ht="13.8"/>
    <row r="136" ht="13.8"/>
    <row r="137" ht="13.8"/>
    <row r="138" ht="13.95" customHeight="1"/>
    <row r="139" ht="13.95" customHeight="1"/>
    <row r="140" ht="13.95" customHeight="1"/>
    <row r="141" ht="13.95" customHeight="1"/>
    <row r="142" ht="13.95" customHeight="1"/>
    <row r="143" ht="13.95" customHeight="1"/>
    <row r="144" ht="13.95" customHeight="1"/>
    <row r="145" ht="13.95" customHeight="1"/>
    <row r="146" ht="13.95" customHeight="1"/>
    <row r="147" ht="13.95" customHeight="1"/>
    <row r="148" ht="13.95" customHeight="1"/>
    <row r="149" ht="13.95" customHeight="1"/>
    <row r="150" ht="13.95" customHeight="1"/>
    <row r="151" ht="13.95" customHeight="1"/>
    <row r="152" ht="13.95" customHeight="1"/>
    <row r="153" ht="13.95" customHeight="1"/>
    <row r="154" ht="13.95" customHeight="1"/>
    <row r="155" ht="13.95" customHeight="1"/>
    <row r="156" ht="13.95" customHeight="1"/>
    <row r="157" ht="13.95" customHeight="1"/>
    <row r="158" ht="13.95" customHeight="1"/>
    <row r="159" ht="13.95" customHeight="1"/>
    <row r="160" ht="13.95" customHeight="1"/>
    <row r="161" ht="13.95" customHeight="1"/>
    <row r="162" ht="13.95" customHeight="1"/>
    <row r="163" ht="13.95" customHeight="1"/>
    <row r="164" ht="13.95" customHeight="1"/>
    <row r="165" ht="13.95" customHeight="1"/>
    <row r="166" ht="13.95" customHeight="1"/>
    <row r="167" ht="13.95" customHeight="1"/>
    <row r="168" ht="13.95" customHeight="1"/>
    <row r="169" ht="13.95" customHeight="1"/>
    <row r="170" ht="13.95" customHeight="1"/>
    <row r="171" ht="13.95" customHeight="1"/>
    <row r="172" ht="13.95" customHeight="1"/>
    <row r="173" ht="13.95" customHeight="1"/>
    <row r="174" ht="13.95" customHeight="1"/>
    <row r="175" ht="13.95" customHeight="1"/>
    <row r="176" ht="13.95" customHeight="1"/>
    <row r="177" ht="13.95" customHeight="1"/>
    <row r="178" ht="13.95" customHeight="1"/>
    <row r="179" ht="13.95" customHeight="1"/>
    <row r="180" ht="13.95" customHeight="1"/>
    <row r="181" ht="13.95" customHeight="1"/>
    <row r="182" ht="13.95" customHeight="1"/>
    <row r="183" ht="13.95" customHeight="1"/>
    <row r="184" ht="13.95" customHeight="1"/>
    <row r="185" ht="13.95" customHeight="1"/>
    <row r="186" ht="13.95" customHeight="1"/>
    <row r="187" ht="13.95" customHeight="1"/>
    <row r="188" ht="13.95" customHeight="1"/>
    <row r="189" ht="13.95" customHeight="1"/>
    <row r="190" ht="13.95" customHeight="1"/>
    <row r="191" ht="13.95" customHeight="1"/>
    <row r="192" ht="13.95" customHeight="1"/>
    <row r="193" ht="13.95" customHeight="1"/>
    <row r="194" ht="13.95" customHeight="1"/>
    <row r="195" ht="13.95" customHeight="1"/>
    <row r="196" ht="13.95" customHeight="1"/>
    <row r="197" ht="13.95" customHeight="1"/>
    <row r="198" ht="13.95" customHeight="1"/>
    <row r="199" ht="13.95" customHeight="1"/>
    <row r="200" ht="13.95" customHeight="1"/>
    <row r="201" ht="13.95" customHeight="1"/>
    <row r="202" ht="13.95" customHeight="1"/>
    <row r="203" ht="13.95" customHeight="1"/>
    <row r="204" ht="13.95" customHeight="1"/>
    <row r="205" ht="13.95" customHeight="1"/>
    <row r="206" ht="13.95" customHeight="1"/>
    <row r="207" ht="13.95" customHeight="1"/>
    <row r="208" ht="13.95" customHeight="1"/>
    <row r="209" ht="13.95" customHeight="1"/>
    <row r="210" ht="13.95" customHeight="1"/>
    <row r="211" ht="13.95" customHeight="1"/>
    <row r="212" ht="13.95" customHeight="1"/>
    <row r="213" ht="13.95" customHeight="1"/>
    <row r="214" ht="13.95" customHeight="1"/>
    <row r="215" ht="13.95" customHeight="1"/>
    <row r="216" ht="13.95" customHeight="1"/>
    <row r="217" ht="13.95" customHeight="1"/>
    <row r="218" ht="13.95" customHeight="1"/>
    <row r="219" ht="13.95" customHeight="1"/>
    <row r="220" ht="13.95" customHeight="1"/>
    <row r="221" ht="13.95" customHeight="1"/>
    <row r="222" ht="13.95" customHeight="1"/>
    <row r="223" ht="13.95" customHeight="1"/>
    <row r="224" ht="13.95" customHeight="1"/>
    <row r="225" ht="13.95" customHeight="1"/>
    <row r="226" ht="13.95" customHeight="1"/>
    <row r="227" ht="13.95" customHeight="1"/>
    <row r="228" ht="13.95" customHeight="1"/>
    <row r="229" ht="13.95" customHeight="1"/>
    <row r="230" ht="13.95" customHeight="1"/>
    <row r="231" ht="13.95" customHeight="1"/>
    <row r="232" ht="13.95" customHeight="1"/>
    <row r="233" ht="13.95" customHeight="1"/>
    <row r="234" ht="13.95" customHeight="1"/>
    <row r="235" ht="13.95" customHeight="1"/>
    <row r="236" ht="13.95" customHeight="1"/>
    <row r="237" ht="13.95" customHeight="1"/>
    <row r="238" ht="13.95" customHeight="1"/>
    <row r="239" ht="13.95" customHeight="1"/>
    <row r="240" ht="13.95" customHeight="1"/>
    <row r="241" ht="13.95" customHeight="1"/>
    <row r="242" ht="13.95" customHeight="1"/>
    <row r="243" ht="13.95" customHeight="1"/>
    <row r="244" ht="13.95" customHeight="1"/>
    <row r="245" ht="13.95" customHeight="1"/>
    <row r="246" ht="13.95" customHeight="1"/>
    <row r="247" ht="13.95" customHeight="1"/>
    <row r="248" ht="13.95" customHeight="1"/>
    <row r="249" ht="13.95" customHeight="1"/>
    <row r="250" ht="13.95" customHeight="1"/>
    <row r="251" ht="13.95" customHeight="1"/>
    <row r="252" ht="13.95" customHeight="1"/>
    <row r="253" ht="13.95" customHeight="1"/>
    <row r="254" ht="13.95" customHeight="1"/>
    <row r="255" ht="13.95" customHeight="1"/>
    <row r="256" ht="13.95" customHeight="1"/>
    <row r="257" ht="13.95" customHeight="1"/>
    <row r="258" ht="13.95" customHeight="1"/>
    <row r="259" ht="13.95" customHeight="1"/>
    <row r="260" ht="13.95" customHeight="1"/>
    <row r="261" ht="13.95" customHeight="1"/>
    <row r="262" ht="13.95" customHeight="1"/>
    <row r="263" ht="13.95" customHeight="1"/>
    <row r="264" ht="13.95" customHeight="1"/>
    <row r="265" ht="13.95" customHeight="1"/>
    <row r="266" ht="13.95" customHeight="1"/>
    <row r="267" ht="13.95" customHeight="1"/>
    <row r="268" ht="13.95" customHeight="1"/>
    <row r="269" ht="13.95" customHeight="1"/>
    <row r="270" ht="13.95" customHeight="1"/>
    <row r="271" ht="13.95" customHeight="1"/>
    <row r="272" ht="13.95" customHeight="1"/>
    <row r="273" ht="13.95" customHeight="1"/>
    <row r="274" ht="13.95" customHeight="1"/>
    <row r="275" ht="13.95" customHeight="1"/>
    <row r="276" ht="13.95" customHeight="1"/>
    <row r="277" ht="13.95" customHeight="1"/>
    <row r="278" ht="13.95" customHeight="1"/>
    <row r="279" ht="13.95" customHeight="1"/>
    <row r="280" ht="13.95" customHeight="1"/>
    <row r="281" ht="13.95" customHeight="1"/>
    <row r="282" ht="13.95" customHeight="1"/>
    <row r="283" ht="13.95" customHeight="1"/>
    <row r="284" ht="13.95" customHeight="1"/>
    <row r="285" ht="13.95" customHeight="1"/>
    <row r="286" ht="13.95" customHeight="1"/>
    <row r="287" ht="13.95" customHeight="1"/>
    <row r="288" ht="13.95" customHeight="1"/>
    <row r="289" ht="13.95" customHeight="1"/>
    <row r="290" ht="13.95" customHeight="1"/>
    <row r="291" ht="13.95" customHeight="1"/>
    <row r="292" ht="13.95" customHeight="1"/>
    <row r="293" ht="13.95" customHeight="1"/>
    <row r="294" ht="13.95" customHeight="1"/>
    <row r="295" ht="13.95" customHeight="1"/>
  </sheetData>
  <mergeCells count="9">
    <mergeCell ref="B35:M36"/>
    <mergeCell ref="A1:H1"/>
    <mergeCell ref="A2:H2"/>
    <mergeCell ref="B5:B13"/>
    <mergeCell ref="B14:B22"/>
    <mergeCell ref="B23:B31"/>
    <mergeCell ref="D5:D13"/>
    <mergeCell ref="D14:D22"/>
    <mergeCell ref="D23:D31"/>
  </mergeCells>
  <printOptions horizontalCentered="1"/>
  <pageMargins left="0.27559055118110198" right="0.196850393700787" top="0.43307086614173201" bottom="0.35433070866141703" header="0.43307086614173201" footer="0"/>
  <pageSetup paperSize="9" scale="54" orientation="landscape" r:id="rId1"/>
  <ignoredErrors>
    <ignoredError sqref="H8 G9:H9 H10 G13:H13 G18:H18 G14:H14 G15:H15 G16:H16 G17:H17 G22:H22"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Ref</vt:lpstr>
      <vt:lpstr>คอมฯ  CN</vt:lpstr>
      <vt:lpstr>สรุปยอดเบิก CN</vt:lpstr>
      <vt:lpstr>คอมฯ CBN</vt:lpstr>
      <vt:lpstr>สรุปยอดเบิก CBN</vt:lpstr>
      <vt:lpstr>'คอมฯ  CN'!Print_Area</vt:lpstr>
      <vt:lpstr>'คอมฯ CBN'!Print_Area</vt:lpstr>
      <vt:lpstr>'สรุปยอดเบิก CBN'!Print_Area</vt:lpstr>
      <vt:lpstr>'สรุปยอดเบิก CN'!Print_Area</vt:lpstr>
      <vt:lpstr>'คอมฯ  CN'!Print_Titles</vt:lpstr>
      <vt:lpstr>'คอมฯ CBN'!Print_Titles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Chantrapprn</dc:creator>
  <cp:lastModifiedBy>Admin</cp:lastModifiedBy>
  <cp:lastPrinted>2024-09-04T08:53:40Z</cp:lastPrinted>
  <dcterms:created xsi:type="dcterms:W3CDTF">2022-04-03T17:11:16Z</dcterms:created>
  <dcterms:modified xsi:type="dcterms:W3CDTF">2024-11-28T04:14:26Z</dcterms:modified>
</cp:coreProperties>
</file>